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mpra-my.sharepoint.com/personal/blagovest_papagalski_fastmarkets_com/Documents/Desktop/Random Lengths - Excel Add-in - Updated Templates/"/>
    </mc:Choice>
  </mc:AlternateContent>
  <xr:revisionPtr revIDLastSave="8" documentId="8_{044EEE18-CE81-45FB-B291-2274A8ABFF03}" xr6:coauthVersionLast="47" xr6:coauthVersionMax="47" xr10:uidLastSave="{4500FB1C-58DA-4FEB-ACB5-F4B05385142B}"/>
  <bookViews>
    <workbookView xWindow="-120" yWindow="-120" windowWidth="29040" windowHeight="15990" tabRatio="581" xr2:uid="{00000000-000D-0000-FFFF-FFFF00000000}"/>
  </bookViews>
  <sheets>
    <sheet name="International-Latest prices" sheetId="8" r:id="rId1"/>
    <sheet name="International-Specific date" sheetId="7" r:id="rId2"/>
  </sheets>
  <definedNames>
    <definedName name="__Rpt" localSheetId="0">'International-Latest prices'!$A$101</definedName>
    <definedName name="__Rpt">'International-Specific date'!$A$101</definedName>
    <definedName name="_LATESTvarPubDate" localSheetId="0">'International-Latest prices'!$B$22</definedName>
    <definedName name="_prtRpt" localSheetId="0">'International-Latest prices'!$A$101:$S$167</definedName>
    <definedName name="_prtRpt">'International-Specific date'!$A$101:$S$167</definedName>
    <definedName name="_SPECIFICvarPubDate">'International-Specific date'!$B$22</definedName>
    <definedName name="EAAC" localSheetId="0">'International-Latest prices'!$P$109</definedName>
    <definedName name="EAAC" localSheetId="1">'International-Specific date'!$P$109</definedName>
    <definedName name="EAAE" localSheetId="0">'International-Latest prices'!$P$110</definedName>
    <definedName name="EAAE" localSheetId="1">'International-Specific date'!$P$110</definedName>
    <definedName name="EAAH" localSheetId="0">'International-Latest prices'!$Q$109</definedName>
    <definedName name="EAAH" localSheetId="1">'International-Specific date'!$Q$109</definedName>
    <definedName name="EAAJ" localSheetId="0">'International-Latest prices'!$Q$110</definedName>
    <definedName name="EAAJ" localSheetId="1">'International-Specific date'!$Q$110</definedName>
    <definedName name="EAAL" localSheetId="0">'International-Latest prices'!$P$113</definedName>
    <definedName name="EAAL" localSheetId="1">'International-Specific date'!$P$113</definedName>
    <definedName name="EAAM" localSheetId="0">'International-Latest prices'!$P$114</definedName>
    <definedName name="EAAM" localSheetId="1">'International-Specific date'!$P$114</definedName>
    <definedName name="EAAO" localSheetId="0">'International-Latest prices'!$Q$113</definedName>
    <definedName name="EAAO" localSheetId="1">'International-Specific date'!$Q$113</definedName>
    <definedName name="EAAP" localSheetId="0">'International-Latest prices'!$Q$114</definedName>
    <definedName name="EAAP" localSheetId="1">'International-Specific date'!$Q$114</definedName>
    <definedName name="EABC" localSheetId="0">'International-Latest prices'!$P$123</definedName>
    <definedName name="EABC" localSheetId="1">'International-Specific date'!$P$123</definedName>
    <definedName name="EABG" localSheetId="0">'International-Latest prices'!$Q$123</definedName>
    <definedName name="EABG" localSheetId="1">'International-Specific date'!$Q$123</definedName>
    <definedName name="EABI" localSheetId="0">'International-Latest prices'!$B$128</definedName>
    <definedName name="EABI" localSheetId="1">'International-Specific date'!$B$128</definedName>
    <definedName name="EABJ" localSheetId="0">'International-Latest prices'!$B$129</definedName>
    <definedName name="EABJ" localSheetId="1">'International-Specific date'!$B$129</definedName>
    <definedName name="EABK" localSheetId="0">'International-Latest prices'!$B$130</definedName>
    <definedName name="EABK" localSheetId="1">'International-Specific date'!$B$130</definedName>
    <definedName name="EABL" localSheetId="0">'International-Latest prices'!$C$133</definedName>
    <definedName name="EABL" localSheetId="1">'International-Specific date'!$C$133</definedName>
    <definedName name="EABM" localSheetId="0">'International-Latest prices'!$E$133</definedName>
    <definedName name="EABM" localSheetId="1">'International-Specific date'!$E$133</definedName>
    <definedName name="EABN" localSheetId="0">'International-Latest prices'!$E$128</definedName>
    <definedName name="EABN" localSheetId="1">'International-Specific date'!$E$128</definedName>
    <definedName name="EABO" localSheetId="0">'International-Latest prices'!$E$129</definedName>
    <definedName name="EABO" localSheetId="1">'International-Specific date'!$E$129</definedName>
    <definedName name="EABP" localSheetId="0">'International-Latest prices'!$E$130</definedName>
    <definedName name="EABP" localSheetId="1">'International-Specific date'!$E$130</definedName>
    <definedName name="EABR" localSheetId="0">'International-Latest prices'!$B$132</definedName>
    <definedName name="EABR" localSheetId="1">'International-Specific date'!$B$132</definedName>
    <definedName name="EABS" localSheetId="0">'International-Latest prices'!$E$132</definedName>
    <definedName name="EABS" localSheetId="1">'International-Specific date'!$E$132</definedName>
    <definedName name="EABT" localSheetId="0">'International-Latest prices'!$P$125</definedName>
    <definedName name="EABT" localSheetId="1">'International-Specific date'!$P$125</definedName>
    <definedName name="EABU" localSheetId="0">'International-Latest prices'!$Q$125</definedName>
    <definedName name="EABU" localSheetId="1">'International-Specific date'!$Q$125</definedName>
    <definedName name="EABV" localSheetId="0">'International-Latest prices'!$I$129</definedName>
    <definedName name="EABV" localSheetId="1">'International-Specific date'!$I$129</definedName>
    <definedName name="EABX" localSheetId="0">'International-Latest prices'!$I$131</definedName>
    <definedName name="EABX" localSheetId="1">'International-Specific date'!$I$131</definedName>
    <definedName name="EABY" localSheetId="0">'International-Latest prices'!$L$131</definedName>
    <definedName name="EABY" localSheetId="1">'International-Specific date'!$L$131</definedName>
    <definedName name="EABZ" localSheetId="0">'International-Latest prices'!$I$107</definedName>
    <definedName name="EABZ" localSheetId="1">'International-Specific date'!$I$107</definedName>
    <definedName name="EACA" localSheetId="0">'International-Latest prices'!$I$108</definedName>
    <definedName name="EACA" localSheetId="1">'International-Specific date'!$I$108</definedName>
    <definedName name="EACB" localSheetId="0">'International-Latest prices'!$I$109</definedName>
    <definedName name="EACB" localSheetId="1">'International-Specific date'!$I$109</definedName>
    <definedName name="EACC" localSheetId="0">'International-Latest prices'!$I$110</definedName>
    <definedName name="EACC" localSheetId="1">'International-Specific date'!$I$110</definedName>
    <definedName name="EACD" localSheetId="0">'International-Latest prices'!$I$111</definedName>
    <definedName name="EACD" localSheetId="1">'International-Specific date'!$I$111</definedName>
    <definedName name="EACE" localSheetId="0">'International-Latest prices'!$J$107</definedName>
    <definedName name="EACE" localSheetId="1">'International-Specific date'!$J$107</definedName>
    <definedName name="EACF" localSheetId="0">'International-Latest prices'!$J$108</definedName>
    <definedName name="EACF" localSheetId="1">'International-Specific date'!$J$108</definedName>
    <definedName name="EACG" localSheetId="0">'International-Latest prices'!$J$109</definedName>
    <definedName name="EACG" localSheetId="1">'International-Specific date'!$J$109</definedName>
    <definedName name="EACH" localSheetId="0">'International-Latest prices'!$J$110</definedName>
    <definedName name="EACH" localSheetId="1">'International-Specific date'!$J$110</definedName>
    <definedName name="EACI" localSheetId="0">'International-Latest prices'!$J$111</definedName>
    <definedName name="EACI" localSheetId="1">'International-Specific date'!$J$111</definedName>
    <definedName name="EACJ" localSheetId="0">'International-Latest prices'!$I$116</definedName>
    <definedName name="EACJ" localSheetId="1">'International-Specific date'!$I$116</definedName>
    <definedName name="EACK" localSheetId="0">'International-Latest prices'!$I$117</definedName>
    <definedName name="EACK" localSheetId="1">'International-Specific date'!$I$117</definedName>
    <definedName name="EACL" localSheetId="0">'International-Latest prices'!$I$118</definedName>
    <definedName name="EACL" localSheetId="1">'International-Specific date'!$I$118</definedName>
    <definedName name="EACM" localSheetId="0">'International-Latest prices'!$I$119</definedName>
    <definedName name="EACM" localSheetId="1">'International-Specific date'!$I$119</definedName>
    <definedName name="EACN" localSheetId="0">'International-Latest prices'!$J$116</definedName>
    <definedName name="EACN" localSheetId="1">'International-Specific date'!$J$116</definedName>
    <definedName name="EACO" localSheetId="0">'International-Latest prices'!$J$117</definedName>
    <definedName name="EACO" localSheetId="1">'International-Specific date'!$J$117</definedName>
    <definedName name="EACP" localSheetId="0">'International-Latest prices'!$J$118</definedName>
    <definedName name="EACP" localSheetId="1">'International-Specific date'!$J$118</definedName>
    <definedName name="EACQ" localSheetId="0">'International-Latest prices'!$J$119</definedName>
    <definedName name="EACQ" localSheetId="1">'International-Specific date'!$J$119</definedName>
    <definedName name="EACR" localSheetId="0">'International-Latest prices'!$I$112</definedName>
    <definedName name="EACR" localSheetId="1">'International-Specific date'!$I$112</definedName>
    <definedName name="EACS" localSheetId="0">'International-Latest prices'!$I$113</definedName>
    <definedName name="EACS" localSheetId="1">'International-Specific date'!$I$113</definedName>
    <definedName name="EACT" localSheetId="0">'International-Latest prices'!$I$114</definedName>
    <definedName name="EACT" localSheetId="1">'International-Specific date'!$I$114</definedName>
    <definedName name="EACU" localSheetId="0">'International-Latest prices'!$I$115</definedName>
    <definedName name="EACU" localSheetId="1">'International-Specific date'!$I$115</definedName>
    <definedName name="EACV" localSheetId="0">'International-Latest prices'!$J$112</definedName>
    <definedName name="EACV" localSheetId="1">'International-Specific date'!$J$112</definedName>
    <definedName name="EACW" localSheetId="0">'International-Latest prices'!$J$113</definedName>
    <definedName name="EACW" localSheetId="1">'International-Specific date'!$J$113</definedName>
    <definedName name="EACX" localSheetId="0">'International-Latest prices'!$J$114</definedName>
    <definedName name="EACX" localSheetId="1">'International-Specific date'!$J$114</definedName>
    <definedName name="EACY" localSheetId="0">'International-Latest prices'!$J$115</definedName>
    <definedName name="EACY" localSheetId="1">'International-Specific date'!$J$115</definedName>
    <definedName name="EADH" localSheetId="0">'International-Latest prices'!$B$120</definedName>
    <definedName name="EADH" localSheetId="1">'International-Specific date'!$B$120</definedName>
    <definedName name="EADI" localSheetId="0">'International-Latest prices'!$B$121</definedName>
    <definedName name="EADI" localSheetId="1">'International-Specific date'!$B$121</definedName>
    <definedName name="EADJ" localSheetId="0">'International-Latest prices'!$B$122</definedName>
    <definedName name="EADJ" localSheetId="1">'International-Specific date'!$B$122</definedName>
    <definedName name="EADK" localSheetId="0">'International-Latest prices'!$C$120</definedName>
    <definedName name="EADK" localSheetId="1">'International-Specific date'!$C$120</definedName>
    <definedName name="EADL" localSheetId="0">'International-Latest prices'!$C$121</definedName>
    <definedName name="EADL" localSheetId="1">'International-Specific date'!$C$121</definedName>
    <definedName name="EADM" localSheetId="0">'International-Latest prices'!$C$122</definedName>
    <definedName name="EADM" localSheetId="1">'International-Specific date'!$C$122</definedName>
    <definedName name="EAEP" localSheetId="0">'International-Latest prices'!$B$153</definedName>
    <definedName name="EAEP" localSheetId="1">'International-Specific date'!$B$153</definedName>
    <definedName name="EAEQ" localSheetId="0">'International-Latest prices'!$B$154</definedName>
    <definedName name="EAEQ" localSheetId="1">'International-Specific date'!$B$154</definedName>
    <definedName name="EAER" localSheetId="0">'International-Latest prices'!$B$155</definedName>
    <definedName name="EAER" localSheetId="1">'International-Specific date'!$B$155</definedName>
    <definedName name="EAES" localSheetId="0">'International-Latest prices'!$C$153</definedName>
    <definedName name="EAES" localSheetId="1">'International-Specific date'!$C$153</definedName>
    <definedName name="EAET" localSheetId="0">'International-Latest prices'!$C$154</definedName>
    <definedName name="EAET" localSheetId="1">'International-Specific date'!$C$154</definedName>
    <definedName name="EAEU" localSheetId="0">'International-Latest prices'!$C$155</definedName>
    <definedName name="EAEU" localSheetId="1">'International-Specific date'!$C$155</definedName>
    <definedName name="EAEZ" localSheetId="0">'International-Latest prices'!$P$144</definedName>
    <definedName name="EAEZ" localSheetId="1">'International-Specific date'!$P$144</definedName>
    <definedName name="EAFA" localSheetId="0">'International-Latest prices'!$P$145</definedName>
    <definedName name="EAFA" localSheetId="1">'International-Specific date'!$P$145</definedName>
    <definedName name="EAFB" localSheetId="0">'International-Latest prices'!$P$146</definedName>
    <definedName name="EAFB" localSheetId="1">'International-Specific date'!$P$146</definedName>
    <definedName name="EAFG" localSheetId="0">'International-Latest prices'!$Q$144</definedName>
    <definedName name="EAFG" localSheetId="1">'International-Specific date'!$Q$144</definedName>
    <definedName name="EAFH" localSheetId="0">'International-Latest prices'!$Q$145</definedName>
    <definedName name="EAFH" localSheetId="1">'International-Specific date'!$Q$145</definedName>
    <definedName name="EAFI" localSheetId="0">'International-Latest prices'!$Q$146</definedName>
    <definedName name="EAFI" localSheetId="1">'International-Specific date'!$Q$146</definedName>
    <definedName name="EAFJ" localSheetId="0">'International-Latest prices'!$P$149</definedName>
    <definedName name="EAFJ" localSheetId="1">'International-Specific date'!$P$149</definedName>
    <definedName name="EAFK" localSheetId="0">'International-Latest prices'!$P$150</definedName>
    <definedName name="EAFK" localSheetId="1">'International-Specific date'!$P$150</definedName>
    <definedName name="EAFM" localSheetId="0">'International-Latest prices'!$P$151</definedName>
    <definedName name="EAFM" localSheetId="1">'International-Specific date'!$P$151</definedName>
    <definedName name="EAFN" localSheetId="0">'International-Latest prices'!$Q$149</definedName>
    <definedName name="EAFN" localSheetId="1">'International-Specific date'!$Q$149</definedName>
    <definedName name="EAFO" localSheetId="0">'International-Latest prices'!$Q$150</definedName>
    <definedName name="EAFO" localSheetId="1">'International-Specific date'!$Q$150</definedName>
    <definedName name="EAFQ" localSheetId="0">'International-Latest prices'!$Q$151</definedName>
    <definedName name="EAFQ" localSheetId="1">'International-Specific date'!$Q$151</definedName>
    <definedName name="EAFT" localSheetId="0">'International-Latest prices'!$I$142</definedName>
    <definedName name="EAFT" localSheetId="1">'International-Specific date'!$I$142</definedName>
    <definedName name="EAFU" localSheetId="0">'International-Latest prices'!$I$143</definedName>
    <definedName name="EAFU" localSheetId="1">'International-Specific date'!$I$143</definedName>
    <definedName name="EAFV" localSheetId="0">'International-Latest prices'!$I$146</definedName>
    <definedName name="EAFV" localSheetId="1">'International-Specific date'!$I$146</definedName>
    <definedName name="EAFY" localSheetId="0">'International-Latest prices'!$J$142</definedName>
    <definedName name="EAFY" localSheetId="1">'International-Specific date'!$J$142</definedName>
    <definedName name="EAFZ" localSheetId="0">'International-Latest prices'!$J$143</definedName>
    <definedName name="EAFZ" localSheetId="1">'International-Specific date'!$J$143</definedName>
    <definedName name="EAGA" localSheetId="0">'International-Latest prices'!$J$146</definedName>
    <definedName name="EAGA" localSheetId="1">'International-Specific date'!$J$146</definedName>
    <definedName name="EAGF" localSheetId="0">'International-Latest prices'!$B$142</definedName>
    <definedName name="EAGF" localSheetId="1">'International-Specific date'!$B$142</definedName>
    <definedName name="EAGG" localSheetId="0">'International-Latest prices'!$C$142</definedName>
    <definedName name="EAGG" localSheetId="1">'International-Specific date'!$C$142</definedName>
    <definedName name="EAGN" localSheetId="0">'International-Latest prices'!$B$143</definedName>
    <definedName name="EAGN" localSheetId="1">'International-Specific date'!$B$143</definedName>
    <definedName name="EAGO" localSheetId="0">'International-Latest prices'!$C$143</definedName>
    <definedName name="EAGO" localSheetId="1">'International-Specific date'!$C$143</definedName>
    <definedName name="EAGP" localSheetId="0">'International-Latest prices'!$B$145</definedName>
    <definedName name="EAGP" localSheetId="1">'International-Specific date'!$B$145</definedName>
    <definedName name="EAGQ" localSheetId="0">'International-Latest prices'!$C$145</definedName>
    <definedName name="EAGQ" localSheetId="1">'International-Specific date'!$C$145</definedName>
    <definedName name="EAGR" localSheetId="0">'International-Latest prices'!$B$146</definedName>
    <definedName name="EAGR" localSheetId="1">'International-Specific date'!$B$146</definedName>
    <definedName name="EAGS" localSheetId="0">'International-Latest prices'!$C$146</definedName>
    <definedName name="EAGS" localSheetId="1">'International-Specific date'!$C$146</definedName>
    <definedName name="EAGT" localSheetId="0">'International-Latest prices'!$B$148</definedName>
    <definedName name="EAGT" localSheetId="1">'International-Specific date'!$B$148</definedName>
    <definedName name="EAGU" localSheetId="0">'International-Latest prices'!$C$148</definedName>
    <definedName name="EAGU" localSheetId="1">'International-Specific date'!$C$148</definedName>
    <definedName name="EAGX" localSheetId="0">'International-Latest prices'!$P$142</definedName>
    <definedName name="EAGX" localSheetId="1">'International-Specific date'!$P$142</definedName>
    <definedName name="EAGY" localSheetId="0">'International-Latest prices'!$Q$142</definedName>
    <definedName name="EAGY" localSheetId="1">'International-Specific date'!$Q$142</definedName>
    <definedName name="EAGZ" localSheetId="0">'International-Latest prices'!$P$143</definedName>
    <definedName name="EAGZ" localSheetId="1">'International-Specific date'!$P$143</definedName>
    <definedName name="EAHA" localSheetId="0">'International-Latest prices'!$Q$143</definedName>
    <definedName name="EAHA" localSheetId="1">'International-Specific date'!$Q$143</definedName>
    <definedName name="EAHF" localSheetId="0">'International-Latest prices'!$L$129</definedName>
    <definedName name="EAHF" localSheetId="1">'International-Specific date'!$L$129</definedName>
    <definedName name="EAHG" localSheetId="0">'International-Latest prices'!$B$160</definedName>
    <definedName name="EAHG" localSheetId="1">'International-Specific date'!$B$160</definedName>
    <definedName name="EAHH" localSheetId="0">'International-Latest prices'!$C$160</definedName>
    <definedName name="EAHH" localSheetId="1">'International-Specific date'!$C$160</definedName>
    <definedName name="EAHI" localSheetId="0">'International-Latest prices'!$B$161</definedName>
    <definedName name="EAHI" localSheetId="1">'International-Specific date'!$B$161</definedName>
    <definedName name="EAHJ" localSheetId="0">'International-Latest prices'!$C$161</definedName>
    <definedName name="EAHJ" localSheetId="1">'International-Specific date'!$C$161</definedName>
    <definedName name="EAHK" localSheetId="0">'International-Latest prices'!$B$166</definedName>
    <definedName name="EAHK" localSheetId="1">'International-Specific date'!$B$166</definedName>
    <definedName name="EAHL" localSheetId="0">'International-Latest prices'!$C$166</definedName>
    <definedName name="EAHL" localSheetId="1">'International-Specific date'!$C$166</definedName>
    <definedName name="EAHM" localSheetId="0">'International-Latest prices'!$P$156</definedName>
    <definedName name="EAHM" localSheetId="1">'International-Specific date'!$P$156</definedName>
    <definedName name="EAHN" localSheetId="0">'International-Latest prices'!$P$157</definedName>
    <definedName name="EAHN" localSheetId="1">'International-Specific date'!$P$157</definedName>
    <definedName name="EAHO" localSheetId="0">'International-Latest prices'!$P$158</definedName>
    <definedName name="EAHO" localSheetId="1">'International-Specific date'!$P$158</definedName>
    <definedName name="EAHW" localSheetId="0">'International-Latest prices'!$P$159</definedName>
    <definedName name="EAHW" localSheetId="1">'International-Specific date'!$P$159</definedName>
    <definedName name="EAHX" localSheetId="0">'International-Latest prices'!$P$160</definedName>
    <definedName name="EAHX" localSheetId="1">'International-Specific date'!$P$160</definedName>
    <definedName name="EAHY" localSheetId="0">'International-Latest prices'!$P$164</definedName>
    <definedName name="EAHY" localSheetId="1">'International-Specific date'!$P$164</definedName>
    <definedName name="EAHZ" localSheetId="0">'International-Latest prices'!$P$108</definedName>
    <definedName name="EAHZ" localSheetId="1">'International-Specific date'!$P$108</definedName>
    <definedName name="EAIA" localSheetId="0">'International-Latest prices'!$Q$108</definedName>
    <definedName name="EAIA" localSheetId="1">'International-Specific date'!$Q$108</definedName>
    <definedName name="EAIB" localSheetId="0">'International-Latest prices'!$B$107</definedName>
    <definedName name="EAIB" localSheetId="1">'International-Specific date'!$B$107</definedName>
    <definedName name="EAIC" localSheetId="0">'International-Latest prices'!$B$108</definedName>
    <definedName name="EAIC" localSheetId="1">'International-Specific date'!$B$108</definedName>
    <definedName name="EAID" localSheetId="0">'International-Latest prices'!$B$109</definedName>
    <definedName name="EAID" localSheetId="1">'International-Specific date'!$B$109</definedName>
    <definedName name="EAIE" localSheetId="0">'International-Latest prices'!$B$110</definedName>
    <definedName name="EAIE" localSheetId="1">'International-Specific date'!$B$110</definedName>
    <definedName name="EAIF" localSheetId="0">'International-Latest prices'!$B$111</definedName>
    <definedName name="EAIF" localSheetId="1">'International-Specific date'!$B$111</definedName>
    <definedName name="EAIG" localSheetId="0">'International-Latest prices'!$C$107</definedName>
    <definedName name="EAIG" localSheetId="1">'International-Specific date'!$C$107</definedName>
    <definedName name="EAIH" localSheetId="0">'International-Latest prices'!$C$108</definedName>
    <definedName name="EAIH" localSheetId="1">'International-Specific date'!$C$108</definedName>
    <definedName name="EAII" localSheetId="0">'International-Latest prices'!$C$109</definedName>
    <definedName name="EAII" localSheetId="1">'International-Specific date'!$C$109</definedName>
    <definedName name="EAIJ" localSheetId="0">'International-Latest prices'!$C$110</definedName>
    <definedName name="EAIJ" localSheetId="1">'International-Specific date'!$C$110</definedName>
    <definedName name="EAIK" localSheetId="0">'International-Latest prices'!$C$111</definedName>
    <definedName name="EAIK" localSheetId="1">'International-Specific date'!$C$111</definedName>
    <definedName name="EAIL" localSheetId="0">'International-Latest prices'!$B$112</definedName>
    <definedName name="EAIL" localSheetId="1">'International-Specific date'!$B$112</definedName>
    <definedName name="EAIM" localSheetId="0">'International-Latest prices'!$B$113</definedName>
    <definedName name="EAIM" localSheetId="1">'International-Specific date'!$B$113</definedName>
    <definedName name="EAIN" localSheetId="0">'International-Latest prices'!$B$114</definedName>
    <definedName name="EAIN" localSheetId="1">'International-Specific date'!$B$114</definedName>
    <definedName name="EAIO" localSheetId="0">'International-Latest prices'!$B$115</definedName>
    <definedName name="EAIO" localSheetId="1">'International-Specific date'!$B$115</definedName>
    <definedName name="EAIP" localSheetId="0">'International-Latest prices'!$B$116</definedName>
    <definedName name="EAIP" localSheetId="1">'International-Specific date'!$B$116</definedName>
    <definedName name="EAIQ" localSheetId="0">'International-Latest prices'!$C$112</definedName>
    <definedName name="EAIQ" localSheetId="1">'International-Specific date'!$C$112</definedName>
    <definedName name="EAIR" localSheetId="0">'International-Latest prices'!$C$113</definedName>
    <definedName name="EAIR" localSheetId="1">'International-Specific date'!$C$113</definedName>
    <definedName name="EAIS" localSheetId="0">'International-Latest prices'!$C$114</definedName>
    <definedName name="EAIS" localSheetId="1">'International-Specific date'!$C$114</definedName>
    <definedName name="EAIT" localSheetId="0">'International-Latest prices'!$C$115</definedName>
    <definedName name="EAIT" localSheetId="1">'International-Specific date'!$C$115</definedName>
    <definedName name="EAIU" localSheetId="0">'International-Latest prices'!$C$116</definedName>
    <definedName name="EAIU" localSheetId="1">'International-Specific date'!$C$116</definedName>
    <definedName name="EAIV" localSheetId="0">'International-Latest prices'!$P$112</definedName>
    <definedName name="EAIV" localSheetId="1">'International-Specific date'!$P$112</definedName>
    <definedName name="EAIW" localSheetId="0">'International-Latest prices'!$Q$112</definedName>
    <definedName name="EAIW" localSheetId="1">'International-Specific date'!$Q$112</definedName>
    <definedName name="EAIY" localSheetId="0">'International-Latest prices'!$R$109</definedName>
    <definedName name="EAIY" localSheetId="1">'International-Specific date'!$R$109</definedName>
    <definedName name="EAJA" localSheetId="0">'International-Latest prices'!$R$110</definedName>
    <definedName name="EAJA" localSheetId="1">'International-Specific date'!$R$110</definedName>
    <definedName name="EAJC" localSheetId="0">'International-Latest prices'!$S$109</definedName>
    <definedName name="EAJC" localSheetId="1">'International-Specific date'!$S$109</definedName>
    <definedName name="EAJE" localSheetId="0">'International-Latest prices'!$S$110</definedName>
    <definedName name="EAJE" localSheetId="1">'International-Specific date'!$S$110</definedName>
    <definedName name="EAJF" localSheetId="0">'International-Latest prices'!$R$113</definedName>
    <definedName name="EAJF" localSheetId="1">'International-Specific date'!$R$113</definedName>
    <definedName name="EAJG" localSheetId="0">'International-Latest prices'!$R$114</definedName>
    <definedName name="EAJG" localSheetId="1">'International-Specific date'!$R$114</definedName>
    <definedName name="EAJH" localSheetId="0">'International-Latest prices'!$S$113</definedName>
    <definedName name="EAJH" localSheetId="1">'International-Specific date'!$S$113</definedName>
    <definedName name="EAJI" localSheetId="0">'International-Latest prices'!$S$114</definedName>
    <definedName name="EAJI" localSheetId="1">'International-Specific date'!$S$114</definedName>
    <definedName name="EAJL" localSheetId="0">'International-Latest prices'!$R$123</definedName>
    <definedName name="EAJL" localSheetId="1">'International-Specific date'!$R$123</definedName>
    <definedName name="EAJP" localSheetId="0">'International-Latest prices'!$S$123</definedName>
    <definedName name="EAJP" localSheetId="1">'International-Specific date'!$S$123</definedName>
    <definedName name="EAJR" localSheetId="0">'International-Latest prices'!$C$128</definedName>
    <definedName name="EAJR" localSheetId="1">'International-Specific date'!$C$128</definedName>
    <definedName name="EAJS" localSheetId="0">'International-Latest prices'!$C$129</definedName>
    <definedName name="EAJS" localSheetId="1">'International-Specific date'!$C$129</definedName>
    <definedName name="EAJT" localSheetId="0">'International-Latest prices'!$C$130</definedName>
    <definedName name="EAJT" localSheetId="1">'International-Specific date'!$C$130</definedName>
    <definedName name="EAJW" localSheetId="0">'International-Latest prices'!$F$128</definedName>
    <definedName name="EAJW" localSheetId="1">'International-Specific date'!$F$128</definedName>
    <definedName name="EAJX" localSheetId="0">'International-Latest prices'!$F$129</definedName>
    <definedName name="EAJX" localSheetId="1">'International-Specific date'!$F$129</definedName>
    <definedName name="EAJY" localSheetId="0">'International-Latest prices'!$F$130</definedName>
    <definedName name="EAJY" localSheetId="1">'International-Specific date'!$F$130</definedName>
    <definedName name="EAKA" localSheetId="0">'International-Latest prices'!$C$132</definedName>
    <definedName name="EAKA" localSheetId="1">'International-Specific date'!$C$132</definedName>
    <definedName name="EAKB" localSheetId="0">'International-Latest prices'!$F$132</definedName>
    <definedName name="EAKB" localSheetId="1">'International-Specific date'!$F$132</definedName>
    <definedName name="EAKC" localSheetId="0">'International-Latest prices'!$R$125</definedName>
    <definedName name="EAKC" localSheetId="1">'International-Specific date'!$R$125</definedName>
    <definedName name="EAKD" localSheetId="0">'International-Latest prices'!$S$125</definedName>
    <definedName name="EAKD" localSheetId="1">'International-Specific date'!$S$125</definedName>
    <definedName name="EAKE" localSheetId="0">'International-Latest prices'!$J$129</definedName>
    <definedName name="EAKE" localSheetId="1">'International-Specific date'!$J$129</definedName>
    <definedName name="EAKF" localSheetId="0">'International-Latest prices'!$J$131</definedName>
    <definedName name="EAKF" localSheetId="1">'International-Specific date'!$J$131</definedName>
    <definedName name="EAKG" localSheetId="0">'International-Latest prices'!$M$131</definedName>
    <definedName name="EAKG" localSheetId="1">'International-Specific date'!$M$131</definedName>
    <definedName name="EAKH" localSheetId="0">'International-Latest prices'!$K$107</definedName>
    <definedName name="EAKH" localSheetId="1">'International-Specific date'!$K$107</definedName>
    <definedName name="EAKI" localSheetId="0">'International-Latest prices'!$K$108</definedName>
    <definedName name="EAKI" localSheetId="1">'International-Specific date'!$K$108</definedName>
    <definedName name="EAKJ" localSheetId="0">'International-Latest prices'!$K$109</definedName>
    <definedName name="EAKJ" localSheetId="1">'International-Specific date'!$K$109</definedName>
    <definedName name="EAKK" localSheetId="0">'International-Latest prices'!$K$110</definedName>
    <definedName name="EAKK" localSheetId="1">'International-Specific date'!$K$110</definedName>
    <definedName name="EAKL" localSheetId="0">'International-Latest prices'!$K$111</definedName>
    <definedName name="EAKL" localSheetId="1">'International-Specific date'!$K$111</definedName>
    <definedName name="EAKM" localSheetId="0">'International-Latest prices'!$L$107</definedName>
    <definedName name="EAKM" localSheetId="1">'International-Specific date'!$L$107</definedName>
    <definedName name="EAKN" localSheetId="0">'International-Latest prices'!$L$108</definedName>
    <definedName name="EAKN" localSheetId="1">'International-Specific date'!$L$108</definedName>
    <definedName name="EAKO" localSheetId="0">'International-Latest prices'!$L$109</definedName>
    <definedName name="EAKO" localSheetId="1">'International-Specific date'!$L$109</definedName>
    <definedName name="EAKP" localSheetId="0">'International-Latest prices'!$L$110</definedName>
    <definedName name="EAKP" localSheetId="1">'International-Specific date'!$L$110</definedName>
    <definedName name="EAKQ" localSheetId="0">'International-Latest prices'!$L$111</definedName>
    <definedName name="EAKQ" localSheetId="1">'International-Specific date'!$L$111</definedName>
    <definedName name="EAKR" localSheetId="0">'International-Latest prices'!$K$116</definedName>
    <definedName name="EAKR" localSheetId="1">'International-Specific date'!$K$116</definedName>
    <definedName name="EAKS" localSheetId="0">'International-Latest prices'!$K$117</definedName>
    <definedName name="EAKS" localSheetId="1">'International-Specific date'!$K$117</definedName>
    <definedName name="EAKT" localSheetId="0">'International-Latest prices'!$K$118</definedName>
    <definedName name="EAKT" localSheetId="1">'International-Specific date'!$K$118</definedName>
    <definedName name="EAKU" localSheetId="0">'International-Latest prices'!$K$119</definedName>
    <definedName name="EAKU" localSheetId="1">'International-Specific date'!$K$119</definedName>
    <definedName name="EAKV" localSheetId="0">'International-Latest prices'!$L$116</definedName>
    <definedName name="EAKV" localSheetId="1">'International-Specific date'!$L$116</definedName>
    <definedName name="EAKW" localSheetId="0">'International-Latest prices'!$L$117</definedName>
    <definedName name="EAKW" localSheetId="1">'International-Specific date'!$L$117</definedName>
    <definedName name="EAKX" localSheetId="0">'International-Latest prices'!$L$118</definedName>
    <definedName name="EAKX" localSheetId="1">'International-Specific date'!$L$118</definedName>
    <definedName name="EAKY" localSheetId="0">'International-Latest prices'!$L$119</definedName>
    <definedName name="EAKY" localSheetId="1">'International-Specific date'!$L$119</definedName>
    <definedName name="EAKZ" localSheetId="0">'International-Latest prices'!$K$112</definedName>
    <definedName name="EAKZ" localSheetId="1">'International-Specific date'!$K$112</definedName>
    <definedName name="EALA" localSheetId="0">'International-Latest prices'!$K$113</definedName>
    <definedName name="EALA" localSheetId="1">'International-Specific date'!$K$113</definedName>
    <definedName name="EALB" localSheetId="0">'International-Latest prices'!$K$114</definedName>
    <definedName name="EALB" localSheetId="1">'International-Specific date'!$K$114</definedName>
    <definedName name="EALC" localSheetId="0">'International-Latest prices'!$K$115</definedName>
    <definedName name="EALC" localSheetId="1">'International-Specific date'!$K$115</definedName>
    <definedName name="EALD" localSheetId="0">'International-Latest prices'!$L$112</definedName>
    <definedName name="EALD" localSheetId="1">'International-Specific date'!$L$112</definedName>
    <definedName name="EALE" localSheetId="0">'International-Latest prices'!$L$113</definedName>
    <definedName name="EALE" localSheetId="1">'International-Specific date'!$L$113</definedName>
    <definedName name="EALF" localSheetId="0">'International-Latest prices'!$L$114</definedName>
    <definedName name="EALF" localSheetId="1">'International-Specific date'!$L$114</definedName>
    <definedName name="EALG" localSheetId="0">'International-Latest prices'!$L$115</definedName>
    <definedName name="EALG" localSheetId="1">'International-Specific date'!$L$115</definedName>
    <definedName name="EALH" localSheetId="0">'International-Latest prices'!$D$120</definedName>
    <definedName name="EALH" localSheetId="1">'International-Specific date'!$D$120</definedName>
    <definedName name="EALI" localSheetId="0">'International-Latest prices'!$D$121</definedName>
    <definedName name="EALI" localSheetId="1">'International-Specific date'!$D$121</definedName>
    <definedName name="EALJ" localSheetId="0">'International-Latest prices'!$D$122</definedName>
    <definedName name="EALJ" localSheetId="1">'International-Specific date'!$D$122</definedName>
    <definedName name="EALK" localSheetId="0">'International-Latest prices'!$E$120</definedName>
    <definedName name="EALK" localSheetId="1">'International-Specific date'!$E$120</definedName>
    <definedName name="EALL" localSheetId="0">'International-Latest prices'!$E$121</definedName>
    <definedName name="EALL" localSheetId="1">'International-Specific date'!$E$121</definedName>
    <definedName name="EALM" localSheetId="0">'International-Latest prices'!$E$122</definedName>
    <definedName name="EALM" localSheetId="1">'International-Specific date'!$E$122</definedName>
    <definedName name="EALT" localSheetId="0">'International-Latest prices'!$D$153</definedName>
    <definedName name="EALT" localSheetId="1">'International-Specific date'!$D$153</definedName>
    <definedName name="EALU" localSheetId="0">'International-Latest prices'!$D$154</definedName>
    <definedName name="EALU" localSheetId="1">'International-Specific date'!$D$154</definedName>
    <definedName name="EALV" localSheetId="0">'International-Latest prices'!$D$155</definedName>
    <definedName name="EALV" localSheetId="1">'International-Specific date'!$D$155</definedName>
    <definedName name="EALW" localSheetId="0">'International-Latest prices'!$E$153</definedName>
    <definedName name="EALW" localSheetId="1">'International-Specific date'!$E$153</definedName>
    <definedName name="EALX" localSheetId="0">'International-Latest prices'!$E$154</definedName>
    <definedName name="EALX" localSheetId="1">'International-Specific date'!$E$154</definedName>
    <definedName name="EALY" localSheetId="0">'International-Latest prices'!$E$155</definedName>
    <definedName name="EALY" localSheetId="1">'International-Specific date'!$E$155</definedName>
    <definedName name="EALZ" localSheetId="0">'International-Latest prices'!$R$144</definedName>
    <definedName name="EALZ" localSheetId="1">'International-Specific date'!$R$144</definedName>
    <definedName name="EAMA" localSheetId="0">'International-Latest prices'!$R$145</definedName>
    <definedName name="EAMA" localSheetId="1">'International-Specific date'!$R$145</definedName>
    <definedName name="EAMB" localSheetId="0">'International-Latest prices'!$R$146</definedName>
    <definedName name="EAMB" localSheetId="1">'International-Specific date'!$R$146</definedName>
    <definedName name="EAMC" localSheetId="0">'International-Latest prices'!$S$144</definedName>
    <definedName name="EAMC" localSheetId="1">'International-Specific date'!$S$144</definedName>
    <definedName name="EAMD" localSheetId="0">'International-Latest prices'!$S$145</definedName>
    <definedName name="EAMD" localSheetId="1">'International-Specific date'!$S$145</definedName>
    <definedName name="EAME" localSheetId="0">'International-Latest prices'!$S$146</definedName>
    <definedName name="EAME" localSheetId="1">'International-Specific date'!$S$146</definedName>
    <definedName name="EAMF" localSheetId="0">'International-Latest prices'!$R$149</definedName>
    <definedName name="EAMF" localSheetId="1">'International-Specific date'!$R$149</definedName>
    <definedName name="EAMG" localSheetId="0">'International-Latest prices'!$R$150</definedName>
    <definedName name="EAMG" localSheetId="1">'International-Specific date'!$R$150</definedName>
    <definedName name="EAMI" localSheetId="0">'International-Latest prices'!$R$151</definedName>
    <definedName name="EAMI" localSheetId="1">'International-Specific date'!$R$151</definedName>
    <definedName name="EAMJ" localSheetId="0">'International-Latest prices'!$S$149</definedName>
    <definedName name="EAMJ" localSheetId="1">'International-Specific date'!$S$149</definedName>
    <definedName name="EAMK" localSheetId="0">'International-Latest prices'!$S$150</definedName>
    <definedName name="EAMK" localSheetId="1">'International-Specific date'!$S$150</definedName>
    <definedName name="EAMM" localSheetId="0">'International-Latest prices'!$S$151</definedName>
    <definedName name="EAMM" localSheetId="1">'International-Specific date'!$S$151</definedName>
    <definedName name="EAMN" localSheetId="0">'International-Latest prices'!$K$142</definedName>
    <definedName name="EAMN" localSheetId="1">'International-Specific date'!$K$142</definedName>
    <definedName name="EAMO" localSheetId="0">'International-Latest prices'!$K$143</definedName>
    <definedName name="EAMO" localSheetId="1">'International-Specific date'!$K$143</definedName>
    <definedName name="EAMP" localSheetId="0">'International-Latest prices'!$K$146</definedName>
    <definedName name="EAMP" localSheetId="1">'International-Specific date'!$K$146</definedName>
    <definedName name="EAMQ" localSheetId="0">'International-Latest prices'!$L$142</definedName>
    <definedName name="EAMQ" localSheetId="1">'International-Specific date'!$L$142</definedName>
    <definedName name="EAMR" localSheetId="0">'International-Latest prices'!$L$143</definedName>
    <definedName name="EAMR" localSheetId="1">'International-Specific date'!$L$143</definedName>
    <definedName name="EAMS" localSheetId="0">'International-Latest prices'!$L$146</definedName>
    <definedName name="EAMS" localSheetId="1">'International-Specific date'!$L$146</definedName>
    <definedName name="EAMT" localSheetId="0">'International-Latest prices'!$D$142</definedName>
    <definedName name="EAMT" localSheetId="1">'International-Specific date'!$D$142</definedName>
    <definedName name="EAMU" localSheetId="0">'International-Latest prices'!$E$142</definedName>
    <definedName name="EAMU" localSheetId="1">'International-Specific date'!$E$142</definedName>
    <definedName name="EAMV" localSheetId="0">'International-Latest prices'!$D$143</definedName>
    <definedName name="EAMV" localSheetId="1">'International-Specific date'!$D$143</definedName>
    <definedName name="EAMW" localSheetId="0">'International-Latest prices'!$E$143</definedName>
    <definedName name="EAMW" localSheetId="1">'International-Specific date'!$E$143</definedName>
    <definedName name="EAMX" localSheetId="0">'International-Latest prices'!$D$145</definedName>
    <definedName name="EAMX" localSheetId="1">'International-Specific date'!$D$145</definedName>
    <definedName name="EAMY" localSheetId="0">'International-Latest prices'!$E$145</definedName>
    <definedName name="EAMY" localSheetId="1">'International-Specific date'!$E$145</definedName>
    <definedName name="EAMZ" localSheetId="0">'International-Latest prices'!$D$146</definedName>
    <definedName name="EAMZ" localSheetId="1">'International-Specific date'!$D$146</definedName>
    <definedName name="EANA" localSheetId="0">'International-Latest prices'!$E$146</definedName>
    <definedName name="EANA" localSheetId="1">'International-Specific date'!$E$146</definedName>
    <definedName name="EANB" localSheetId="0">'International-Latest prices'!$D$148</definedName>
    <definedName name="EANB" localSheetId="1">'International-Specific date'!$D$148</definedName>
    <definedName name="EANC" localSheetId="0">'International-Latest prices'!$E$148</definedName>
    <definedName name="EANC" localSheetId="1">'International-Specific date'!$E$148</definedName>
    <definedName name="EAND" localSheetId="0">'International-Latest prices'!$R$142</definedName>
    <definedName name="EAND" localSheetId="1">'International-Specific date'!$R$142</definedName>
    <definedName name="EANE" localSheetId="0">'International-Latest prices'!$S$142</definedName>
    <definedName name="EANE" localSheetId="1">'International-Specific date'!$S$142</definedName>
    <definedName name="EANF" localSheetId="0">'International-Latest prices'!$R$143</definedName>
    <definedName name="EANF" localSheetId="1">'International-Specific date'!$R$143</definedName>
    <definedName name="EANG" localSheetId="0">'International-Latest prices'!$S$143</definedName>
    <definedName name="EANG" localSheetId="1">'International-Specific date'!$S$143</definedName>
    <definedName name="EANH" localSheetId="0">'International-Latest prices'!$M$129</definedName>
    <definedName name="EANH" localSheetId="1">'International-Specific date'!$M$129</definedName>
    <definedName name="EANI" localSheetId="0">'International-Latest prices'!$D$160</definedName>
    <definedName name="EANI" localSheetId="1">'International-Specific date'!$D$160</definedName>
    <definedName name="EANJ" localSheetId="0">'International-Latest prices'!$E$160</definedName>
    <definedName name="EANJ" localSheetId="1">'International-Specific date'!$E$160</definedName>
    <definedName name="EANK" localSheetId="0">'International-Latest prices'!$D$161</definedName>
    <definedName name="EANK" localSheetId="1">'International-Specific date'!$D$161</definedName>
    <definedName name="EANL" localSheetId="0">'International-Latest prices'!$E$161</definedName>
    <definedName name="EANL" localSheetId="1">'International-Specific date'!$E$161</definedName>
    <definedName name="EANM" localSheetId="0">'International-Latest prices'!$D$166</definedName>
    <definedName name="EANM" localSheetId="1">'International-Specific date'!$D$166</definedName>
    <definedName name="EANN" localSheetId="0">'International-Latest prices'!$E$166</definedName>
    <definedName name="EANN" localSheetId="1">'International-Specific date'!$E$166</definedName>
    <definedName name="EANO" localSheetId="0">'International-Latest prices'!$Q$156</definedName>
    <definedName name="EANO" localSheetId="1">'International-Specific date'!$Q$156</definedName>
    <definedName name="EANP" localSheetId="0">'International-Latest prices'!$Q$157</definedName>
    <definedName name="EANP" localSheetId="1">'International-Specific date'!$Q$157</definedName>
    <definedName name="EANQ" localSheetId="0">'International-Latest prices'!$Q$158</definedName>
    <definedName name="EANQ" localSheetId="1">'International-Specific date'!$Q$158</definedName>
    <definedName name="EANY" localSheetId="0">'International-Latest prices'!$Q$159</definedName>
    <definedName name="EANY" localSheetId="1">'International-Specific date'!$Q$159</definedName>
    <definedName name="EANZ" localSheetId="0">'International-Latest prices'!$Q$160</definedName>
    <definedName name="EANZ" localSheetId="1">'International-Specific date'!$Q$160</definedName>
    <definedName name="EAOA" localSheetId="0">'International-Latest prices'!$Q$164</definedName>
    <definedName name="EAOA" localSheetId="1">'International-Specific date'!$Q$164</definedName>
    <definedName name="EAOB" localSheetId="0">'International-Latest prices'!$R$108</definedName>
    <definedName name="EAOB" localSheetId="1">'International-Specific date'!$R$108</definedName>
    <definedName name="EAOC" localSheetId="0">'International-Latest prices'!$S$108</definedName>
    <definedName name="EAOC" localSheetId="1">'International-Specific date'!$S$108</definedName>
    <definedName name="EAOD" localSheetId="0">'International-Latest prices'!$D$107</definedName>
    <definedName name="EAOD" localSheetId="1">'International-Specific date'!$D$107</definedName>
    <definedName name="EAOE" localSheetId="0">'International-Latest prices'!$D$108</definedName>
    <definedName name="EAOE" localSheetId="1">'International-Specific date'!$D$108</definedName>
    <definedName name="EAOF" localSheetId="0">'International-Latest prices'!$D$109</definedName>
    <definedName name="EAOF" localSheetId="1">'International-Specific date'!$D$109</definedName>
    <definedName name="EAOG" localSheetId="0">'International-Latest prices'!$D$110</definedName>
    <definedName name="EAOG" localSheetId="1">'International-Specific date'!$D$110</definedName>
    <definedName name="EAOH" localSheetId="0">'International-Latest prices'!$D$111</definedName>
    <definedName name="EAOH" localSheetId="1">'International-Specific date'!$D$111</definedName>
    <definedName name="EAOI" localSheetId="0">'International-Latest prices'!$E$107</definedName>
    <definedName name="EAOI" localSheetId="1">'International-Specific date'!$E$107</definedName>
    <definedName name="EAOJ" localSheetId="0">'International-Latest prices'!$E$108</definedName>
    <definedName name="EAOJ" localSheetId="1">'International-Specific date'!$E$108</definedName>
    <definedName name="EAOK" localSheetId="0">'International-Latest prices'!$E$109</definedName>
    <definedName name="EAOK" localSheetId="1">'International-Specific date'!$E$109</definedName>
    <definedName name="EAOL" localSheetId="0">'International-Latest prices'!$E$110</definedName>
    <definedName name="EAOL" localSheetId="1">'International-Specific date'!$E$110</definedName>
    <definedName name="EAOM" localSheetId="0">'International-Latest prices'!$E$111</definedName>
    <definedName name="EAOM" localSheetId="1">'International-Specific date'!$E$111</definedName>
    <definedName name="EAON" localSheetId="0">'International-Latest prices'!$D$112</definedName>
    <definedName name="EAON" localSheetId="1">'International-Specific date'!$D$112</definedName>
    <definedName name="EAOO" localSheetId="0">'International-Latest prices'!$D$113</definedName>
    <definedName name="EAOO" localSheetId="1">'International-Specific date'!$D$113</definedName>
    <definedName name="EAOP" localSheetId="0">'International-Latest prices'!$D$114</definedName>
    <definedName name="EAOP" localSheetId="1">'International-Specific date'!$D$114</definedName>
    <definedName name="EAOQ" localSheetId="0">'International-Latest prices'!$D$115</definedName>
    <definedName name="EAOQ" localSheetId="1">'International-Specific date'!$D$115</definedName>
    <definedName name="EAOR" localSheetId="0">'International-Latest prices'!$D$116</definedName>
    <definedName name="EAOR" localSheetId="1">'International-Specific date'!$D$116</definedName>
    <definedName name="EAOS" localSheetId="0">'International-Latest prices'!$E$112</definedName>
    <definedName name="EAOS" localSheetId="1">'International-Specific date'!$E$112</definedName>
    <definedName name="EAOT" localSheetId="0">'International-Latest prices'!$E$113</definedName>
    <definedName name="EAOT" localSheetId="1">'International-Specific date'!$E$113</definedName>
    <definedName name="EAOU" localSheetId="0">'International-Latest prices'!$E$114</definedName>
    <definedName name="EAOU" localSheetId="1">'International-Specific date'!$E$114</definedName>
    <definedName name="EAOV" localSheetId="0">'International-Latest prices'!$E$115</definedName>
    <definedName name="EAOV" localSheetId="1">'International-Specific date'!$E$115</definedName>
    <definedName name="EAOW" localSheetId="0">'International-Latest prices'!$E$116</definedName>
    <definedName name="EAOW" localSheetId="1">'International-Specific date'!$E$116</definedName>
    <definedName name="EAOX" localSheetId="0">'International-Latest prices'!$R$112</definedName>
    <definedName name="EAOX" localSheetId="1">'International-Specific date'!$R$112</definedName>
    <definedName name="EAOY" localSheetId="0">'International-Latest prices'!$S$112</definedName>
    <definedName name="EAOY" localSheetId="1">'International-Specific date'!$S$112</definedName>
    <definedName name="EAOZ" localSheetId="0">'International-Latest prices'!$I$124</definedName>
    <definedName name="EAOZ" localSheetId="1">'International-Specific date'!$I$124</definedName>
    <definedName name="EAPA" localSheetId="0">'International-Latest prices'!$J$124</definedName>
    <definedName name="EAPA" localSheetId="1">'International-Specific date'!$J$124</definedName>
    <definedName name="EAPB" localSheetId="0">'International-Latest prices'!$K$124</definedName>
    <definedName name="EAPB" localSheetId="1">'International-Specific date'!$K$124</definedName>
    <definedName name="EAPC" localSheetId="0">'International-Latest prices'!$L$124</definedName>
    <definedName name="EAPC" localSheetId="1">'International-Specific date'!$L$124</definedName>
    <definedName name="EAPD" localSheetId="0">'International-Latest prices'!$P$120</definedName>
    <definedName name="EAPD" localSheetId="1">'International-Specific date'!$P$120</definedName>
    <definedName name="EAPE" localSheetId="0">'International-Latest prices'!$P$121</definedName>
    <definedName name="EAPE" localSheetId="1">'International-Specific date'!$P$121</definedName>
    <definedName name="EAPF" localSheetId="0">'International-Latest prices'!$Q$120</definedName>
    <definedName name="EAPF" localSheetId="1">'International-Specific date'!$Q$120</definedName>
    <definedName name="EAPG" localSheetId="0">'International-Latest prices'!$Q$121</definedName>
    <definedName name="EAPG" localSheetId="1">'International-Specific date'!$Q$121</definedName>
    <definedName name="EAPH" localSheetId="0">'International-Latest prices'!$R$120</definedName>
    <definedName name="EAPH" localSheetId="1">'International-Specific date'!$R$120</definedName>
    <definedName name="EAPI" localSheetId="0">'International-Latest prices'!$S$120</definedName>
    <definedName name="EAPI" localSheetId="1">'International-Specific date'!$S$120</definedName>
    <definedName name="EAPJ" localSheetId="0">'International-Latest prices'!$R$121</definedName>
    <definedName name="EAPJ" localSheetId="1">'International-Specific date'!$R$121</definedName>
    <definedName name="EAPK" localSheetId="0">'International-Latest prices'!$S$121</definedName>
    <definedName name="EAPK" localSheetId="1">'International-Specific date'!$S$121</definedName>
    <definedName name="EAPL" localSheetId="0">'International-Latest prices'!$I$151</definedName>
    <definedName name="EAPL" localSheetId="1">'International-Specific date'!$I$151</definedName>
    <definedName name="EAPM" localSheetId="0">'International-Latest prices'!$J$151</definedName>
    <definedName name="EAPM" localSheetId="1">'International-Specific date'!$J$151</definedName>
    <definedName name="EAPN" localSheetId="0">'International-Latest prices'!$K$151</definedName>
    <definedName name="EAPN" localSheetId="1">'International-Specific date'!$K$151</definedName>
    <definedName name="EAPO" localSheetId="0">'International-Latest prices'!$L$151</definedName>
    <definedName name="EAPO" localSheetId="1">'International-Specific date'!$L$151</definedName>
    <definedName name="EAPP" localSheetId="0">'International-Latest prices'!$I$152</definedName>
    <definedName name="EAPP" localSheetId="1">'International-Specific date'!$I$152</definedName>
    <definedName name="EAPQ" localSheetId="0">'International-Latest prices'!$J$152</definedName>
    <definedName name="EAPQ" localSheetId="1">'International-Specific date'!$J$152</definedName>
    <definedName name="EAPR" localSheetId="0">'International-Latest prices'!$K$152</definedName>
    <definedName name="EAPR" localSheetId="1">'International-Specific date'!$K$152</definedName>
    <definedName name="EAPS" localSheetId="0">'International-Latest prices'!$L$152</definedName>
    <definedName name="EAPS" localSheetId="1">'International-Specific date'!$L$152</definedName>
    <definedName name="EAPT" localSheetId="0">'International-Latest prices'!$I$158</definedName>
    <definedName name="EAPT" localSheetId="1">'International-Specific date'!$I$158</definedName>
    <definedName name="EAPU" localSheetId="0">'International-Latest prices'!$J$158</definedName>
    <definedName name="EAPU" localSheetId="1">'International-Specific date'!$J$158</definedName>
    <definedName name="EAPV" localSheetId="0">'International-Latest prices'!$K$158</definedName>
    <definedName name="EAPV" localSheetId="1">'International-Specific date'!$K$158</definedName>
    <definedName name="EAPW" localSheetId="0">'International-Latest prices'!$L$158</definedName>
    <definedName name="EAPW" localSheetId="1">'International-Specific date'!$L$158</definedName>
    <definedName name="EAPX" localSheetId="0">'International-Latest prices'!$I$159</definedName>
    <definedName name="EAPX" localSheetId="1">'International-Specific date'!$I$159</definedName>
    <definedName name="EAPY" localSheetId="0">'International-Latest prices'!$J$159</definedName>
    <definedName name="EAPY" localSheetId="1">'International-Specific date'!$J$159</definedName>
    <definedName name="EAPZ" localSheetId="0">'International-Latest prices'!$K$159</definedName>
    <definedName name="EAPZ" localSheetId="1">'International-Specific date'!$K$159</definedName>
    <definedName name="EAQA" localSheetId="0">'International-Latest prices'!$L$159</definedName>
    <definedName name="EAQA" localSheetId="1">'International-Specific date'!$L$159</definedName>
    <definedName name="EAQB" localSheetId="0">'International-Latest prices'!$P$122</definedName>
    <definedName name="EAQB" localSheetId="1">'International-Specific date'!$P$122</definedName>
    <definedName name="EAQC" localSheetId="0">'International-Latest prices'!$Q$122</definedName>
    <definedName name="EAQC" localSheetId="1">'International-Specific date'!$Q$122</definedName>
    <definedName name="EAQD" localSheetId="0">'International-Latest prices'!$R$122</definedName>
    <definedName name="EAQD" localSheetId="1">'International-Specific date'!$R$122</definedName>
    <definedName name="EAQE" localSheetId="0">'International-Latest prices'!$S$122</definedName>
    <definedName name="EAQE" localSheetId="1">'International-Specific date'!$S$122</definedName>
    <definedName name="EAQF" localSheetId="0">'International-Latest prices'!$I$150</definedName>
    <definedName name="EAQF" localSheetId="1">'International-Specific date'!$I$150</definedName>
    <definedName name="EAQG" localSheetId="0">'International-Latest prices'!$J$150</definedName>
    <definedName name="EAQG" localSheetId="1">'International-Specific date'!$J$150</definedName>
    <definedName name="EAQH" localSheetId="0">'International-Latest prices'!$K$150</definedName>
    <definedName name="EAQH" localSheetId="1">'International-Specific date'!$K$150</definedName>
    <definedName name="EAQI" localSheetId="0">'International-Latest prices'!$L$150</definedName>
    <definedName name="EAQI" localSheetId="1">'International-Specific date'!$L$150</definedName>
    <definedName name="EAQJ" localSheetId="0">'International-Latest prices'!$I$153</definedName>
    <definedName name="EAQJ" localSheetId="1">'International-Specific date'!$I$153</definedName>
    <definedName name="EAQK" localSheetId="0">'International-Latest prices'!$J$153</definedName>
    <definedName name="EAQK" localSheetId="1">'International-Specific date'!$J$153</definedName>
    <definedName name="EAQL" localSheetId="0">'International-Latest prices'!$K$153</definedName>
    <definedName name="EAQL" localSheetId="1">'International-Specific date'!$K$153</definedName>
    <definedName name="EAQM" localSheetId="0">'International-Latest prices'!$L$153</definedName>
    <definedName name="EAQM" localSheetId="1">'International-Specific date'!$L$153</definedName>
    <definedName name="EAQN" localSheetId="0">'International-Latest prices'!$I$154</definedName>
    <definedName name="EAQN" localSheetId="1">'International-Specific date'!$I$154</definedName>
    <definedName name="EAQO" localSheetId="0">'International-Latest prices'!$J$154</definedName>
    <definedName name="EAQO" localSheetId="1">'International-Specific date'!$J$154</definedName>
    <definedName name="EAQP" localSheetId="0">'International-Latest prices'!$K$154</definedName>
    <definedName name="EAQP" localSheetId="1">'International-Specific date'!$K$154</definedName>
    <definedName name="EAQQ" localSheetId="0">'International-Latest prices'!$L$154</definedName>
    <definedName name="EAQQ" localSheetId="1">'International-Specific date'!$L$154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8" l="1"/>
  <c r="B22" i="8" a="1"/>
  <c r="B22" i="8" l="1"/>
  <c r="C22" i="7"/>
  <c r="B101" i="7"/>
  <c r="B107" i="7" a="1"/>
  <c r="B129" i="7" a="1"/>
  <c r="R109" i="7" a="1"/>
  <c r="B148" i="7" a="1"/>
  <c r="K115" i="7" a="1"/>
  <c r="Q114" i="7" a="1"/>
  <c r="S151" i="7" a="1"/>
  <c r="C143" i="7" a="1"/>
  <c r="I118" i="7" a="1"/>
  <c r="L142" i="7" a="1"/>
  <c r="J124" i="7" a="1"/>
  <c r="K110" i="7" a="1"/>
  <c r="Q122" i="7" a="1"/>
  <c r="P160" i="7" a="1"/>
  <c r="L153" i="7" a="1"/>
  <c r="J131" i="7" a="1"/>
  <c r="R108" i="7" a="1"/>
  <c r="Q150" i="7" a="1"/>
  <c r="P125" i="7" a="1"/>
  <c r="B108" i="7" a="1"/>
  <c r="S143" i="7" a="1"/>
  <c r="S112" i="7" a="1"/>
  <c r="P113" i="7" a="1"/>
  <c r="C111" i="7" a="1"/>
  <c r="E154" i="7" a="1"/>
  <c r="D114" i="7" a="1"/>
  <c r="D109" i="7" a="1"/>
  <c r="P157" i="7" a="1"/>
  <c r="C153" i="7" a="1"/>
  <c r="B110" i="7" a="1"/>
  <c r="B115" i="7" a="1"/>
  <c r="M131" i="7" a="1"/>
  <c r="R121" i="7" a="1"/>
  <c r="P158" i="7" a="1"/>
  <c r="E115" i="7" a="1"/>
  <c r="D112" i="7" a="1"/>
  <c r="D116" i="7" a="1"/>
  <c r="D155" i="7" a="1"/>
  <c r="I129" i="7" a="1"/>
  <c r="L117" i="7" a="1"/>
  <c r="C115" i="7" a="1"/>
  <c r="P114" i="7" a="1"/>
  <c r="J110" i="7" a="1"/>
  <c r="Q110" i="7" a="1"/>
  <c r="E116" i="7" a="1"/>
  <c r="D115" i="7" a="1"/>
  <c r="J153" i="7" a="1"/>
  <c r="J115" i="7" a="1"/>
  <c r="J150" i="7" a="1"/>
  <c r="D142" i="7" a="1"/>
  <c r="C130" i="7" a="1"/>
  <c r="K146" i="7" a="1"/>
  <c r="S120" i="7" a="1"/>
  <c r="J117" i="7" a="1"/>
  <c r="E129" i="7" a="1"/>
  <c r="I119" i="7" a="1"/>
  <c r="R123" i="7" a="1"/>
  <c r="P145" i="7" a="1"/>
  <c r="L150" i="7" a="1"/>
  <c r="B145" i="7" a="1"/>
  <c r="D121" i="7" a="1"/>
  <c r="K118" i="7" a="1"/>
  <c r="I113" i="7" a="1"/>
  <c r="I142" i="7" a="1"/>
  <c r="B122" i="7" a="1"/>
  <c r="R146" i="7" a="1"/>
  <c r="K142" i="7" a="1"/>
  <c r="S125" i="7" a="1"/>
  <c r="D166" i="7" a="1"/>
  <c r="S145" i="7" a="1"/>
  <c r="K153" i="7" a="1"/>
  <c r="C154" i="7" a="1"/>
  <c r="D153" i="7" a="1"/>
  <c r="Q121" i="7" a="1"/>
  <c r="P146" i="7" a="1"/>
  <c r="P121" i="7" a="1"/>
  <c r="L158" i="7" a="1"/>
  <c r="C116" i="7" a="1"/>
  <c r="R112" i="7" a="1"/>
  <c r="D160" i="7" a="1"/>
  <c r="C142" i="7" a="1"/>
  <c r="Q109" i="7" a="1"/>
  <c r="L115" i="7" a="1"/>
  <c r="C160" i="7" a="1"/>
  <c r="E153" i="7" a="1"/>
  <c r="P123" i="7" a="1"/>
  <c r="K109" i="7" a="1"/>
  <c r="B166" i="7" a="1"/>
  <c r="I111" i="7" a="1"/>
  <c r="J154" i="7" a="1"/>
  <c r="P122" i="7" a="1"/>
  <c r="J146" i="7" a="1"/>
  <c r="M129" i="7" a="1"/>
  <c r="E110" i="7" a="1"/>
  <c r="K154" i="7" a="1"/>
  <c r="D143" i="7" a="1"/>
  <c r="B113" i="7" a="1"/>
  <c r="K151" i="7" a="1"/>
  <c r="Q151" i="7" a="1"/>
  <c r="R144" i="7" a="1"/>
  <c r="L107" i="7" a="1"/>
  <c r="S144" i="7" a="1"/>
  <c r="Q108" i="7" a="1"/>
  <c r="J112" i="7" a="1"/>
  <c r="E120" i="7" a="1"/>
  <c r="C121" i="7" a="1"/>
  <c r="I108" i="7" a="1"/>
  <c r="C166" i="7" a="1"/>
  <c r="J111" i="7" a="1"/>
  <c r="L143" i="7" a="1"/>
  <c r="S146" i="7" a="1"/>
  <c r="E132" i="7" a="1"/>
  <c r="J114" i="7" a="1"/>
  <c r="K117" i="7" a="1"/>
  <c r="Q125" i="7" a="1"/>
  <c r="C132" i="7" a="1"/>
  <c r="P112" i="7" a="1"/>
  <c r="P144" i="7" a="1"/>
  <c r="C120" i="7" a="1"/>
  <c r="B112" i="7" a="1"/>
  <c r="R122" i="7" a="1"/>
  <c r="L131" i="7" a="1"/>
  <c r="Q145" i="7" a="1"/>
  <c r="J113" i="7" a="1"/>
  <c r="I124" i="7" a="1"/>
  <c r="B146" i="7" a="1"/>
  <c r="R120" i="7" a="1"/>
  <c r="E130" i="7" a="1"/>
  <c r="R145" i="7" a="1"/>
  <c r="L114" i="7" a="1"/>
  <c r="F132" i="7" a="1"/>
  <c r="L109" i="7" a="1"/>
  <c r="B130" i="7" a="1"/>
  <c r="K113" i="7" a="1"/>
  <c r="D145" i="7" a="1"/>
  <c r="J151" i="7" a="1"/>
  <c r="C122" i="7" a="1"/>
  <c r="C109" i="7" a="1"/>
  <c r="J159" i="7" a="1"/>
  <c r="Q149" i="7" a="1"/>
  <c r="I152" i="7" a="1"/>
  <c r="E122" i="7" a="1"/>
  <c r="C161" i="7" a="1"/>
  <c r="C148" i="7" a="1"/>
  <c r="K116" i="7" a="1"/>
  <c r="K124" i="7" a="1"/>
  <c r="I151" i="7" a="1"/>
  <c r="D120" i="7" a="1"/>
  <c r="R149" i="7" a="1"/>
  <c r="I153" i="7" a="1"/>
  <c r="B153" i="7" a="1"/>
  <c r="S109" i="7" a="1"/>
  <c r="B114" i="7" a="1"/>
  <c r="P120" i="7" a="1"/>
  <c r="I112" i="7" a="1"/>
  <c r="K119" i="7" a="1"/>
  <c r="K107" i="7" a="1"/>
  <c r="E112" i="7" a="1"/>
  <c r="E111" i="7" a="1"/>
  <c r="R142" i="7" a="1"/>
  <c r="L113" i="7" a="1"/>
  <c r="E108" i="7" a="1"/>
  <c r="B109" i="7" a="1"/>
  <c r="L119" i="7" a="1"/>
  <c r="Q120" i="7" a="1"/>
  <c r="R113" i="7" a="1"/>
  <c r="I114" i="7" a="1"/>
  <c r="D110" i="7" a="1"/>
  <c r="J143" i="7" a="1"/>
  <c r="K152" i="7" a="1"/>
  <c r="C108" i="7" a="1"/>
  <c r="I131" i="7" a="1"/>
  <c r="E160" i="7" a="1"/>
  <c r="I143" i="7" a="1"/>
  <c r="K111" i="7" a="1"/>
  <c r="R110" i="7" a="1"/>
  <c r="C129" i="7" a="1"/>
  <c r="K108" i="7" a="1"/>
  <c r="E113" i="7" a="1"/>
  <c r="R143" i="7" a="1"/>
  <c r="Q159" i="7" a="1"/>
  <c r="D108" i="7" a="1"/>
  <c r="J142" i="7" a="1"/>
  <c r="I115" i="7" a="1"/>
  <c r="C107" i="7" a="1"/>
  <c r="Q123" i="7" a="1"/>
  <c r="L129" i="7" a="1"/>
  <c r="B132" i="7" a="1"/>
  <c r="L152" i="7" a="1"/>
  <c r="D111" i="7" a="1"/>
  <c r="C133" i="7" a="1"/>
  <c r="C112" i="7" a="1"/>
  <c r="S114" i="7" a="1"/>
  <c r="E133" i="7" a="1"/>
  <c r="F129" i="7" a="1"/>
  <c r="S142" i="7" a="1"/>
  <c r="S108" i="7" a="1"/>
  <c r="E121" i="7" a="1"/>
  <c r="E142" i="7" a="1"/>
  <c r="C146" i="7" a="1"/>
  <c r="Q157" i="7" a="1"/>
  <c r="P143" i="7" a="1"/>
  <c r="Q143" i="7" a="1"/>
  <c r="D107" i="7" a="1"/>
  <c r="L118" i="7" a="1"/>
  <c r="D113" i="7" a="1"/>
  <c r="L151" i="7" a="1"/>
  <c r="J108" i="7" a="1"/>
  <c r="I116" i="7" a="1"/>
  <c r="S149" i="7" a="1"/>
  <c r="Q156" i="7" a="1"/>
  <c r="B116" i="7" a="1"/>
  <c r="E155" i="7" a="1"/>
  <c r="E143" i="7" a="1"/>
  <c r="B111" i="7" a="1"/>
  <c r="D122" i="7" a="1"/>
  <c r="E114" i="7" a="1"/>
  <c r="P159" i="7" a="1"/>
  <c r="B128" i="7" a="1"/>
  <c r="P151" i="7" a="1"/>
  <c r="F130" i="7" a="1"/>
  <c r="J107" i="7" a="1"/>
  <c r="P149" i="7" a="1"/>
  <c r="L154" i="7" a="1"/>
  <c r="I109" i="7" a="1"/>
  <c r="E166" i="7" a="1"/>
  <c r="B160" i="7" a="1"/>
  <c r="F128" i="7" a="1"/>
  <c r="E145" i="7" a="1"/>
  <c r="E161" i="7" a="1"/>
  <c r="B143" i="7" a="1"/>
  <c r="K158" i="7" a="1"/>
  <c r="R151" i="7" a="1"/>
  <c r="Q142" i="7" a="1"/>
  <c r="K143" i="7" a="1"/>
  <c r="Q146" i="7" a="1"/>
  <c r="L111" i="7" a="1"/>
  <c r="Q113" i="7" a="1"/>
  <c r="P142" i="7" a="1"/>
  <c r="P156" i="7" a="1"/>
  <c r="K112" i="7" a="1"/>
  <c r="S150" i="7" a="1"/>
  <c r="S113" i="7" a="1"/>
  <c r="C128" i="7" a="1"/>
  <c r="P108" i="7" a="1"/>
  <c r="P109" i="7" a="1"/>
  <c r="P150" i="7" a="1"/>
  <c r="I150" i="7" a="1"/>
  <c r="C113" i="7" a="1"/>
  <c r="I110" i="7" a="1"/>
  <c r="J158" i="7" a="1"/>
  <c r="B142" i="7" a="1"/>
  <c r="S121" i="7" a="1"/>
  <c r="I117" i="7" a="1"/>
  <c r="S122" i="7" a="1"/>
  <c r="E107" i="7" a="1"/>
  <c r="I158" i="7" a="1"/>
  <c r="Q164" i="7" a="1"/>
  <c r="B154" i="7" a="1"/>
  <c r="J152" i="7" a="1"/>
  <c r="B155" i="7" a="1"/>
  <c r="K114" i="7" a="1"/>
  <c r="R150" i="7" a="1"/>
  <c r="C110" i="7" a="1"/>
  <c r="P110" i="7" a="1"/>
  <c r="L159" i="7" a="1"/>
  <c r="R114" i="7" a="1"/>
  <c r="Q158" i="7" a="1"/>
  <c r="C114" i="7" a="1"/>
  <c r="E148" i="7" a="1"/>
  <c r="J129" i="7" a="1"/>
  <c r="L112" i="7" a="1"/>
  <c r="D146" i="7" a="1"/>
  <c r="I154" i="7" a="1"/>
  <c r="E128" i="7" a="1"/>
  <c r="J116" i="7" a="1"/>
  <c r="K150" i="7" a="1"/>
  <c r="C145" i="7" a="1"/>
  <c r="D161" i="7" a="1"/>
  <c r="Q144" i="7" a="1"/>
  <c r="Q112" i="7" a="1"/>
  <c r="L116" i="7" a="1"/>
  <c r="R125" i="7" a="1"/>
  <c r="S123" i="7" a="1"/>
  <c r="L124" i="7" a="1"/>
  <c r="S110" i="7" a="1"/>
  <c r="K159" i="7" a="1"/>
  <c r="J118" i="7" a="1"/>
  <c r="J119" i="7" a="1"/>
  <c r="L146" i="7" a="1"/>
  <c r="C155" i="7" a="1"/>
  <c r="E146" i="7" a="1"/>
  <c r="D148" i="7" a="1"/>
  <c r="Q160" i="7" a="1"/>
  <c r="D154" i="7" a="1"/>
  <c r="J109" i="7" a="1"/>
  <c r="I146" i="7" a="1"/>
  <c r="B120" i="7" a="1"/>
  <c r="L108" i="7" a="1"/>
  <c r="E109" i="7" a="1"/>
  <c r="B121" i="7" a="1"/>
  <c r="B161" i="7" a="1"/>
  <c r="P164" i="7" a="1"/>
  <c r="I159" i="7" a="1"/>
  <c r="L110" i="7" a="1"/>
  <c r="I107" i="7" a="1"/>
  <c r="R143" i="8" a="1"/>
  <c r="E128" i="8" a="1"/>
  <c r="Q151" i="8" a="1"/>
  <c r="L153" i="8" a="1"/>
  <c r="K110" i="8" a="1"/>
  <c r="J124" i="8" a="1"/>
  <c r="D160" i="8" a="1"/>
  <c r="K112" i="8" a="1"/>
  <c r="Q122" i="8" a="1"/>
  <c r="L154" i="8" a="1"/>
  <c r="S142" i="8" a="1"/>
  <c r="Q110" i="8" a="1"/>
  <c r="B122" i="8" a="1"/>
  <c r="Q149" i="8" a="1"/>
  <c r="C161" i="8" a="1"/>
  <c r="P122" i="8" a="1"/>
  <c r="B146" i="8" a="1"/>
  <c r="E116" i="8" a="1"/>
  <c r="I159" i="8" a="1"/>
  <c r="P158" i="8" a="1"/>
  <c r="J114" i="8" a="1"/>
  <c r="R145" i="8" a="1"/>
  <c r="D115" i="8" a="1"/>
  <c r="Q109" i="8" a="1"/>
  <c r="B113" i="8" a="1"/>
  <c r="D112" i="8" a="1"/>
  <c r="B154" i="8" a="1"/>
  <c r="F129" i="8" a="1"/>
  <c r="P114" i="8" a="1"/>
  <c r="L150" i="8" a="1"/>
  <c r="P145" i="8" a="1"/>
  <c r="C143" i="8" a="1"/>
  <c r="C128" i="8" a="1"/>
  <c r="J107" i="8" a="1"/>
  <c r="B132" i="8" a="1"/>
  <c r="L142" i="8" a="1"/>
  <c r="L107" i="8" a="1"/>
  <c r="Q150" i="8" a="1"/>
  <c r="E155" i="8" a="1"/>
  <c r="S108" i="8" a="1"/>
  <c r="P123" i="8" a="1"/>
  <c r="J117" i="8" a="1"/>
  <c r="J108" i="8" a="1"/>
  <c r="E114" i="8" a="1"/>
  <c r="L115" i="8" a="1"/>
  <c r="K116" i="8" a="1"/>
  <c r="I153" i="8" a="1"/>
  <c r="L109" i="8" a="1"/>
  <c r="L158" i="8" a="1"/>
  <c r="S120" i="8" a="1"/>
  <c r="Q164" i="8" a="1"/>
  <c r="Q142" i="8" a="1"/>
  <c r="E166" i="8" a="1"/>
  <c r="E122" i="8" a="1"/>
  <c r="D114" i="8" a="1"/>
  <c r="S149" i="8" a="1"/>
  <c r="B111" i="8" a="1"/>
  <c r="E112" i="8" a="1"/>
  <c r="B108" i="8" a="1"/>
  <c r="K154" i="8" a="1"/>
  <c r="E142" i="8" a="1"/>
  <c r="D146" i="8" a="1"/>
  <c r="R110" i="8" a="1"/>
  <c r="R108" i="8" a="1"/>
  <c r="D148" i="8" a="1"/>
  <c r="I150" i="8" a="1"/>
  <c r="K114" i="8" a="1"/>
  <c r="I142" i="8" a="1"/>
  <c r="S110" i="8" a="1"/>
  <c r="K115" i="8" a="1"/>
  <c r="B148" i="8" a="1"/>
  <c r="Q156" i="8" a="1"/>
  <c r="D111" i="8" a="1"/>
  <c r="P151" i="8" a="1"/>
  <c r="Q159" i="8" a="1"/>
  <c r="K117" i="8" a="1"/>
  <c r="L151" i="8" a="1"/>
  <c r="B109" i="8" a="1"/>
  <c r="J153" i="8" a="1"/>
  <c r="F128" i="8" a="1"/>
  <c r="D154" i="8" a="1"/>
  <c r="B129" i="8" a="1"/>
  <c r="L159" i="8" a="1"/>
  <c r="S150" i="8" a="1"/>
  <c r="J154" i="8" a="1"/>
  <c r="R114" i="8" a="1"/>
  <c r="D155" i="8" a="1"/>
  <c r="P149" i="8" a="1"/>
  <c r="K107" i="8" a="1"/>
  <c r="S113" i="8" a="1"/>
  <c r="J115" i="8" a="1"/>
  <c r="P150" i="8" a="1"/>
  <c r="D107" i="8" a="1"/>
  <c r="S143" i="8" a="1"/>
  <c r="J146" i="8" a="1"/>
  <c r="P157" i="8" a="1"/>
  <c r="Q108" i="8" a="1"/>
  <c r="P113" i="8" a="1"/>
  <c r="Q120" i="8" a="1"/>
  <c r="P164" i="8" a="1"/>
  <c r="I131" i="8" a="1"/>
  <c r="I110" i="8" a="1"/>
  <c r="D109" i="8" a="1"/>
  <c r="C160" i="8" a="1"/>
  <c r="L129" i="8" a="1"/>
  <c r="C113" i="8" a="1"/>
  <c r="C129" i="8" a="1"/>
  <c r="B114" i="8" a="1"/>
  <c r="E121" i="8" a="1"/>
  <c r="I117" i="8" a="1"/>
  <c r="B155" i="8" a="1"/>
  <c r="J119" i="8" a="1"/>
  <c r="J113" i="8" a="1"/>
  <c r="B153" i="8" a="1"/>
  <c r="E148" i="8" a="1"/>
  <c r="J159" i="8" a="1"/>
  <c r="I115" i="8" a="1"/>
  <c r="P146" i="8" a="1"/>
  <c r="C132" i="8" a="1"/>
  <c r="C111" i="8" a="1"/>
  <c r="R146" i="8" a="1"/>
  <c r="Q144" i="8" a="1"/>
  <c r="Q121" i="8" a="1"/>
  <c r="K118" i="8" a="1"/>
  <c r="J142" i="8" a="1"/>
  <c r="B128" i="8" a="1"/>
  <c r="B110" i="8" a="1"/>
  <c r="S151" i="8" a="1"/>
  <c r="P160" i="8" a="1"/>
  <c r="P159" i="8" a="1"/>
  <c r="C130" i="8" a="1"/>
  <c r="I124" i="8" a="1"/>
  <c r="C120" i="8" a="1"/>
  <c r="I112" i="8" a="1"/>
  <c r="P108" i="8" a="1"/>
  <c r="R142" i="8" a="1"/>
  <c r="L116" i="8" a="1"/>
  <c r="E109" i="8" a="1"/>
  <c r="D161" i="8" a="1"/>
  <c r="I158" i="8" a="1"/>
  <c r="J131" i="8" a="1"/>
  <c r="C166" i="8" a="1"/>
  <c r="I151" i="8" a="1"/>
  <c r="E160" i="8" a="1"/>
  <c r="Q143" i="8" a="1"/>
  <c r="B160" i="8" a="1"/>
  <c r="R122" i="8" a="1"/>
  <c r="C116" i="8" a="1"/>
  <c r="I111" i="8" a="1"/>
  <c r="C114" i="8" a="1"/>
  <c r="P110" i="8" a="1"/>
  <c r="I116" i="8" a="1"/>
  <c r="D108" i="8" a="1"/>
  <c r="K109" i="8" a="1"/>
  <c r="E143" i="8" a="1"/>
  <c r="F132" i="8" a="1"/>
  <c r="P112" i="8" a="1"/>
  <c r="R150" i="8" a="1"/>
  <c r="J116" i="8" a="1"/>
  <c r="I113" i="8" a="1"/>
  <c r="F130" i="8" a="1"/>
  <c r="I146" i="8" a="1"/>
  <c r="I154" i="8" a="1"/>
  <c r="D121" i="8" a="1"/>
  <c r="J143" i="8" a="1"/>
  <c r="L113" i="8" a="1"/>
  <c r="R123" i="8" a="1"/>
  <c r="E115" i="8" a="1"/>
  <c r="P144" i="8" a="1"/>
  <c r="J151" i="8" a="1"/>
  <c r="Q112" i="8" a="1"/>
  <c r="R120" i="8" a="1"/>
  <c r="E107" i="8" a="1"/>
  <c r="S144" i="8" a="1"/>
  <c r="B145" i="8" a="1"/>
  <c r="S123" i="8" a="1"/>
  <c r="K119" i="8" a="1"/>
  <c r="E129" i="8" a="1"/>
  <c r="Q123" i="8" a="1"/>
  <c r="C115" i="8" a="1"/>
  <c r="D145" i="8" a="1"/>
  <c r="I152" i="8" a="1"/>
  <c r="S121" i="8" a="1"/>
  <c r="M129" i="8" a="1"/>
  <c r="K158" i="8" a="1"/>
  <c r="K143" i="8" a="1"/>
  <c r="S125" i="8" a="1"/>
  <c r="L131" i="8" a="1"/>
  <c r="Q114" i="8" a="1"/>
  <c r="K152" i="8" a="1"/>
  <c r="E110" i="8" a="1"/>
  <c r="I114" i="8" a="1"/>
  <c r="R121" i="8" a="1"/>
  <c r="B161" i="8" a="1"/>
  <c r="B130" i="8" a="1"/>
  <c r="K124" i="8" a="1"/>
  <c r="S114" i="8" a="1"/>
  <c r="L114" i="8" a="1"/>
  <c r="B121" i="8" a="1"/>
  <c r="S112" i="8" a="1"/>
  <c r="R149" i="8" a="1"/>
  <c r="I129" i="8" a="1"/>
  <c r="R125" i="8" a="1"/>
  <c r="E161" i="8" a="1"/>
  <c r="Q113" i="8" a="1"/>
  <c r="P143" i="8" a="1"/>
  <c r="J150" i="8" a="1"/>
  <c r="L110" i="8" a="1"/>
  <c r="I118" i="8" a="1"/>
  <c r="D110" i="8" a="1"/>
  <c r="K111" i="8" a="1"/>
  <c r="J129" i="8" a="1"/>
  <c r="C133" i="8" a="1"/>
  <c r="E120" i="8" a="1"/>
  <c r="K151" i="8" a="1"/>
  <c r="E132" i="8" a="1"/>
  <c r="M131" i="8" a="1"/>
  <c r="L146" i="8" a="1"/>
  <c r="E111" i="8" a="1"/>
  <c r="B143" i="8" a="1"/>
  <c r="L152" i="8" a="1"/>
  <c r="D120" i="8" a="1"/>
  <c r="B142" i="8" a="1"/>
  <c r="B166" i="8" a="1"/>
  <c r="K153" i="8" a="1"/>
  <c r="C108" i="8" a="1"/>
  <c r="P156" i="8" a="1"/>
  <c r="L124" i="8" a="1"/>
  <c r="J112" i="8" a="1"/>
  <c r="E113" i="8" a="1"/>
  <c r="L111" i="8" a="1"/>
  <c r="J152" i="8" a="1"/>
  <c r="P121" i="8" a="1"/>
  <c r="K108" i="8" a="1"/>
  <c r="Q146" i="8" a="1"/>
  <c r="E130" i="8" a="1"/>
  <c r="P120" i="8" a="1"/>
  <c r="Q160" i="8" a="1"/>
  <c r="C148" i="8" a="1"/>
  <c r="L108" i="8" a="1"/>
  <c r="D113" i="8" a="1"/>
  <c r="B107" i="8" a="1"/>
  <c r="K142" i="8" a="1"/>
  <c r="J109" i="8" a="1"/>
  <c r="C110" i="8" a="1"/>
  <c r="L118" i="8" a="1"/>
  <c r="L117" i="8" a="1"/>
  <c r="C112" i="8" a="1"/>
  <c r="D122" i="8" a="1"/>
  <c r="L119" i="8" a="1"/>
  <c r="Q145" i="8" a="1"/>
  <c r="E153" i="8" a="1"/>
  <c r="I108" i="8" a="1"/>
  <c r="S146" i="8" a="1"/>
  <c r="B115" i="8" a="1"/>
  <c r="B120" i="8" a="1"/>
  <c r="D153" i="8" a="1"/>
  <c r="C153" i="8" a="1"/>
  <c r="C142" i="8" a="1"/>
  <c r="D166" i="8" a="1"/>
  <c r="R151" i="8" a="1"/>
  <c r="R109" i="8" a="1"/>
  <c r="K150" i="8" a="1"/>
  <c r="Q158" i="8" a="1"/>
  <c r="D142" i="8" a="1"/>
  <c r="C155" i="8" a="1"/>
  <c r="B112" i="8" a="1"/>
  <c r="S145" i="8" a="1"/>
  <c r="K113" i="8" a="1"/>
  <c r="P109" i="8" a="1"/>
  <c r="C121" i="8" a="1"/>
  <c r="E108" i="8" a="1"/>
  <c r="D143" i="8" a="1"/>
  <c r="K146" i="8" a="1"/>
  <c r="R113" i="8" a="1"/>
  <c r="E154" i="8" a="1"/>
  <c r="C109" i="8" a="1"/>
  <c r="E146" i="8" a="1"/>
  <c r="C122" i="8" a="1"/>
  <c r="C146" i="8" a="1"/>
  <c r="S109" i="8" a="1"/>
  <c r="J110" i="8" a="1"/>
  <c r="D116" i="8" a="1"/>
  <c r="C154" i="8" a="1"/>
  <c r="I109" i="8" a="1"/>
  <c r="I119" i="8" a="1"/>
  <c r="E145" i="8" a="1"/>
  <c r="S122" i="8" a="1"/>
  <c r="I107" i="8" a="1"/>
  <c r="K159" i="8" a="1"/>
  <c r="L143" i="8" a="1"/>
  <c r="R112" i="8" a="1"/>
  <c r="L112" i="8" a="1"/>
  <c r="J118" i="8" a="1"/>
  <c r="I143" i="8" a="1"/>
  <c r="E133" i="8" a="1"/>
  <c r="P142" i="8" a="1"/>
  <c r="C107" i="8" a="1"/>
  <c r="B116" i="8" a="1"/>
  <c r="Q157" i="8" a="1"/>
  <c r="J158" i="8" a="1"/>
  <c r="Q125" i="8" a="1"/>
  <c r="J111" i="8" a="1"/>
  <c r="R144" i="8" a="1"/>
  <c r="C145" i="8" a="1"/>
  <c r="P125" i="8" a="1"/>
  <c r="B107" i="8" l="1"/>
  <c r="L119" i="8"/>
  <c r="K117" i="8"/>
  <c r="C22" i="8"/>
  <c r="L107" i="8"/>
  <c r="Q108" i="8"/>
  <c r="L109" i="8"/>
  <c r="J110" i="8"/>
  <c r="E111" i="8"/>
  <c r="J112" i="8"/>
  <c r="E113" i="8"/>
  <c r="C114" i="8"/>
  <c r="S114" i="8"/>
  <c r="C116" i="8"/>
  <c r="L117" i="8"/>
  <c r="C120" i="8"/>
  <c r="E121" i="8"/>
  <c r="Q122" i="8"/>
  <c r="L124" i="8"/>
  <c r="C129" i="8"/>
  <c r="F130" i="8"/>
  <c r="E133" i="8"/>
  <c r="Q142" i="8"/>
  <c r="L143" i="8"/>
  <c r="C145" i="8"/>
  <c r="E146" i="8"/>
  <c r="C148" i="8"/>
  <c r="L150" i="8"/>
  <c r="Q151" i="8"/>
  <c r="E153" i="8"/>
  <c r="J154" i="8"/>
  <c r="Q157" i="8"/>
  <c r="L159" i="8"/>
  <c r="C161" i="8"/>
  <c r="K154" i="8"/>
  <c r="P159" i="8"/>
  <c r="S108" i="8"/>
  <c r="J111" i="8"/>
  <c r="E114" i="8"/>
  <c r="Q109" i="8"/>
  <c r="B108" i="8"/>
  <c r="R108" i="8"/>
  <c r="P109" i="8"/>
  <c r="K110" i="8"/>
  <c r="I111" i="8"/>
  <c r="K112" i="8"/>
  <c r="I113" i="8"/>
  <c r="D114" i="8"/>
  <c r="B115" i="8"/>
  <c r="D116" i="8"/>
  <c r="I118" i="8"/>
  <c r="D120" i="8"/>
  <c r="P121" i="8"/>
  <c r="R122" i="8"/>
  <c r="P125" i="8"/>
  <c r="E129" i="8"/>
  <c r="I131" i="8"/>
  <c r="B142" i="8"/>
  <c r="R142" i="8"/>
  <c r="P143" i="8"/>
  <c r="D145" i="8"/>
  <c r="I146" i="8"/>
  <c r="D148" i="8"/>
  <c r="P150" i="8"/>
  <c r="R151" i="8"/>
  <c r="I153" i="8"/>
  <c r="I158" i="8"/>
  <c r="D161" i="8"/>
  <c r="C108" i="8"/>
  <c r="L110" i="8"/>
  <c r="L112" i="8"/>
  <c r="J113" i="8"/>
  <c r="C107" i="8"/>
  <c r="E108" i="8"/>
  <c r="C109" i="8"/>
  <c r="S109" i="8"/>
  <c r="Q110" i="8"/>
  <c r="L111" i="8"/>
  <c r="Q112" i="8"/>
  <c r="L113" i="8"/>
  <c r="J114" i="8"/>
  <c r="E115" i="8"/>
  <c r="J116" i="8"/>
  <c r="L118" i="8"/>
  <c r="R110" i="8"/>
  <c r="K114" i="8"/>
  <c r="K116" i="8"/>
  <c r="R120" i="8"/>
  <c r="B128" i="8"/>
  <c r="B132" i="8"/>
  <c r="I142" i="8"/>
  <c r="P144" i="8"/>
  <c r="R145" i="8"/>
  <c r="R149" i="8"/>
  <c r="I151" i="8"/>
  <c r="B154" i="8"/>
  <c r="D107" i="8"/>
  <c r="I108" i="8"/>
  <c r="D109" i="8"/>
  <c r="B110" i="8"/>
  <c r="B112" i="8"/>
  <c r="R112" i="8"/>
  <c r="P113" i="8"/>
  <c r="I115" i="8"/>
  <c r="I119" i="8"/>
  <c r="B122" i="8"/>
  <c r="R123" i="8"/>
  <c r="L129" i="8"/>
  <c r="D143" i="8"/>
  <c r="P146" i="8"/>
  <c r="K152" i="8"/>
  <c r="E107" i="8"/>
  <c r="J108" i="8"/>
  <c r="E109" i="8"/>
  <c r="C110" i="8"/>
  <c r="S110" i="8"/>
  <c r="C112" i="8"/>
  <c r="S112" i="8"/>
  <c r="Q113" i="8"/>
  <c r="J115" i="8"/>
  <c r="L114" i="8"/>
  <c r="Q123" i="8"/>
  <c r="C143" i="8"/>
  <c r="S150" i="8"/>
  <c r="P156" i="8"/>
  <c r="I109" i="8"/>
  <c r="C111" i="8"/>
  <c r="D113" i="8"/>
  <c r="C115" i="8"/>
  <c r="C121" i="8"/>
  <c r="S123" i="8"/>
  <c r="F129" i="8"/>
  <c r="F132" i="8"/>
  <c r="E143" i="8"/>
  <c r="E145" i="8"/>
  <c r="S146" i="8"/>
  <c r="J151" i="8"/>
  <c r="J153" i="8"/>
  <c r="B160" i="8"/>
  <c r="E166" i="8"/>
  <c r="K118" i="8"/>
  <c r="L153" i="8"/>
  <c r="E160" i="8"/>
  <c r="K109" i="8"/>
  <c r="J119" i="8"/>
  <c r="J124" i="8"/>
  <c r="J143" i="8"/>
  <c r="E148" i="8"/>
  <c r="K111" i="8"/>
  <c r="P160" i="8"/>
  <c r="L115" i="8"/>
  <c r="R121" i="8"/>
  <c r="B146" i="8"/>
  <c r="E142" i="8"/>
  <c r="K158" i="8"/>
  <c r="K108" i="8"/>
  <c r="I116" i="8"/>
  <c r="L142" i="8"/>
  <c r="L154" i="8"/>
  <c r="L108" i="8"/>
  <c r="L116" i="8"/>
  <c r="P114" i="8"/>
  <c r="P122" i="8"/>
  <c r="Q164" i="8"/>
  <c r="P108" i="8"/>
  <c r="I117" i="8"/>
  <c r="Q160" i="8"/>
  <c r="I112" i="8"/>
  <c r="J146" i="8"/>
  <c r="I159" i="8"/>
  <c r="P120" i="8"/>
  <c r="P142" i="8"/>
  <c r="B155" i="8"/>
  <c r="J118" i="8"/>
  <c r="Q156" i="8"/>
  <c r="C160" i="8"/>
  <c r="I107" i="8"/>
  <c r="J109" i="8"/>
  <c r="D111" i="8"/>
  <c r="D115" i="8"/>
  <c r="D121" i="8"/>
  <c r="I124" i="8"/>
  <c r="I129" i="8"/>
  <c r="C133" i="8"/>
  <c r="I143" i="8"/>
  <c r="P145" i="8"/>
  <c r="B148" i="8"/>
  <c r="K151" i="8"/>
  <c r="K153" i="8"/>
  <c r="D160" i="8"/>
  <c r="J129" i="8"/>
  <c r="Q145" i="8"/>
  <c r="P157" i="8"/>
  <c r="J107" i="8"/>
  <c r="Q121" i="8"/>
  <c r="C142" i="8"/>
  <c r="S145" i="8"/>
  <c r="C154" i="8"/>
  <c r="R113" i="8"/>
  <c r="K107" i="8"/>
  <c r="B130" i="8"/>
  <c r="K143" i="8"/>
  <c r="P151" i="8"/>
  <c r="D154" i="8"/>
  <c r="R109" i="8"/>
  <c r="S113" i="8"/>
  <c r="S121" i="8"/>
  <c r="E154" i="8"/>
  <c r="E110" i="8"/>
  <c r="S125" i="8"/>
  <c r="I114" i="8"/>
  <c r="Q144" i="8"/>
  <c r="I152" i="8"/>
  <c r="J131" i="8"/>
  <c r="Q146" i="8"/>
  <c r="D153" i="8"/>
  <c r="K113" i="8"/>
  <c r="K115" i="8"/>
  <c r="M129" i="8"/>
  <c r="L151" i="8"/>
  <c r="J158" i="8"/>
  <c r="K119" i="8"/>
  <c r="K124" i="8"/>
  <c r="D142" i="8"/>
  <c r="P149" i="8"/>
  <c r="D112" i="8"/>
  <c r="Q149" i="8"/>
  <c r="I154" i="8"/>
  <c r="S143" i="8"/>
  <c r="E120" i="8"/>
  <c r="K150" i="8"/>
  <c r="J159" i="8"/>
  <c r="F128" i="8"/>
  <c r="K146" i="8"/>
  <c r="L146" i="8"/>
  <c r="C155" i="8"/>
  <c r="C132" i="8"/>
  <c r="S142" i="8"/>
  <c r="Q150" i="8"/>
  <c r="C113" i="8"/>
  <c r="B121" i="8"/>
  <c r="P123" i="8"/>
  <c r="E132" i="8"/>
  <c r="R150" i="8"/>
  <c r="B116" i="8"/>
  <c r="C122" i="8"/>
  <c r="Q125" i="8"/>
  <c r="C130" i="8"/>
  <c r="J142" i="8"/>
  <c r="Q143" i="8"/>
  <c r="C146" i="8"/>
  <c r="S149" i="8"/>
  <c r="S151" i="8"/>
  <c r="L158" i="8"/>
  <c r="P112" i="8"/>
  <c r="B153" i="8"/>
  <c r="M131" i="8"/>
  <c r="B166" i="8"/>
  <c r="B113" i="8"/>
  <c r="D108" i="8"/>
  <c r="D110" i="8"/>
  <c r="E112" i="8"/>
  <c r="B114" i="8"/>
  <c r="P158" i="8"/>
  <c r="B161" i="8"/>
  <c r="R143" i="8"/>
  <c r="I150" i="8"/>
  <c r="E161" i="8"/>
  <c r="E122" i="8"/>
  <c r="J150" i="8"/>
  <c r="L152" i="8"/>
  <c r="I110" i="8"/>
  <c r="E128" i="8"/>
  <c r="D155" i="8"/>
  <c r="B129" i="8"/>
  <c r="B143" i="8"/>
  <c r="D166" i="8"/>
  <c r="E116" i="8"/>
  <c r="B120" i="8"/>
  <c r="D122" i="8"/>
  <c r="R125" i="8"/>
  <c r="E130" i="8"/>
  <c r="K142" i="8"/>
  <c r="D146" i="8"/>
  <c r="Q158" i="8"/>
  <c r="J152" i="8"/>
  <c r="C128" i="8"/>
  <c r="R144" i="8"/>
  <c r="P164" i="8"/>
  <c r="L131" i="8"/>
  <c r="Q120" i="8"/>
  <c r="P110" i="8"/>
  <c r="S120" i="8"/>
  <c r="C153" i="8"/>
  <c r="C166" i="8"/>
  <c r="Q159" i="8"/>
  <c r="Q114" i="8"/>
  <c r="S122" i="8"/>
  <c r="S144" i="8"/>
  <c r="K159" i="8"/>
  <c r="R114" i="8"/>
  <c r="B145" i="8"/>
  <c r="J117" i="8"/>
  <c r="E155" i="8"/>
  <c r="B109" i="8"/>
  <c r="B111" i="8"/>
  <c r="R146" i="8"/>
  <c r="A101" i="8"/>
  <c r="D22" i="8"/>
  <c r="B107" i="7"/>
  <c r="D22" i="7"/>
  <c r="C107" i="7"/>
  <c r="A101" i="7"/>
  <c r="L129" i="7"/>
  <c r="J154" i="7"/>
  <c r="P158" i="7"/>
  <c r="S123" i="7"/>
  <c r="P109" i="7"/>
  <c r="J118" i="7"/>
  <c r="C142" i="7"/>
  <c r="F132" i="7"/>
  <c r="Q150" i="7"/>
  <c r="S151" i="7"/>
  <c r="Q149" i="7"/>
  <c r="L116" i="7"/>
  <c r="D148" i="7"/>
  <c r="K154" i="7"/>
  <c r="S145" i="7"/>
  <c r="C148" i="7"/>
  <c r="K159" i="7"/>
  <c r="J129" i="7"/>
  <c r="P121" i="7"/>
  <c r="I117" i="7"/>
  <c r="L153" i="7"/>
  <c r="B145" i="7"/>
  <c r="S113" i="7"/>
  <c r="Q159" i="7"/>
  <c r="S112" i="7"/>
  <c r="B116" i="7"/>
  <c r="E130" i="7"/>
  <c r="P112" i="7"/>
  <c r="P125" i="7"/>
  <c r="S109" i="7"/>
  <c r="J110" i="7"/>
  <c r="B148" i="7"/>
  <c r="E160" i="7"/>
  <c r="I108" i="7"/>
  <c r="K107" i="7"/>
  <c r="S114" i="7"/>
  <c r="C111" i="7"/>
  <c r="E145" i="7"/>
  <c r="L112" i="7"/>
  <c r="D115" i="7"/>
  <c r="C153" i="7"/>
  <c r="L110" i="7"/>
  <c r="P120" i="7"/>
  <c r="R109" i="7"/>
  <c r="K151" i="7"/>
  <c r="R122" i="7"/>
  <c r="D107" i="7"/>
  <c r="P156" i="7"/>
  <c r="C146" i="7"/>
  <c r="B132" i="7"/>
  <c r="E142" i="7"/>
  <c r="E109" i="7"/>
  <c r="I154" i="7"/>
  <c r="E114" i="7"/>
  <c r="C154" i="7"/>
  <c r="E154" i="7"/>
  <c r="L158" i="7"/>
  <c r="I131" i="7"/>
  <c r="J114" i="7"/>
  <c r="K143" i="7"/>
  <c r="E122" i="7"/>
  <c r="P143" i="7"/>
  <c r="P122" i="7"/>
  <c r="E161" i="7"/>
  <c r="I143" i="7"/>
  <c r="I113" i="7"/>
  <c r="K118" i="7"/>
  <c r="L143" i="7"/>
  <c r="C160" i="7"/>
  <c r="K158" i="7"/>
  <c r="J152" i="7"/>
  <c r="L131" i="7"/>
  <c r="L109" i="7"/>
  <c r="I107" i="7"/>
  <c r="P142" i="7"/>
  <c r="L152" i="7"/>
  <c r="E111" i="7"/>
  <c r="C109" i="7"/>
  <c r="D146" i="7"/>
  <c r="C115" i="7"/>
  <c r="E113" i="7"/>
  <c r="B111" i="7"/>
  <c r="P113" i="7"/>
  <c r="J116" i="7"/>
  <c r="L118" i="7"/>
  <c r="Q121" i="7"/>
  <c r="B130" i="7"/>
  <c r="K146" i="7"/>
  <c r="D154" i="7"/>
  <c r="K152" i="7"/>
  <c r="J151" i="7"/>
  <c r="J143" i="7"/>
  <c r="Q157" i="7"/>
  <c r="I159" i="7"/>
  <c r="E148" i="7"/>
  <c r="P159" i="7"/>
  <c r="E143" i="7"/>
  <c r="J111" i="7"/>
  <c r="I142" i="7"/>
  <c r="R112" i="7"/>
  <c r="L115" i="7"/>
  <c r="K119" i="7"/>
  <c r="L154" i="7"/>
  <c r="C143" i="7"/>
  <c r="Q108" i="7"/>
  <c r="R114" i="7"/>
  <c r="F128" i="7"/>
  <c r="P150" i="7"/>
  <c r="Q122" i="7"/>
  <c r="R143" i="7"/>
  <c r="B112" i="7"/>
  <c r="I112" i="7"/>
  <c r="M129" i="7"/>
  <c r="P145" i="7"/>
  <c r="C155" i="7"/>
  <c r="K114" i="7"/>
  <c r="B108" i="7"/>
  <c r="I110" i="7"/>
  <c r="D114" i="7"/>
  <c r="P146" i="7"/>
  <c r="Q158" i="7"/>
  <c r="I150" i="7"/>
  <c r="Q110" i="7"/>
  <c r="I158" i="7"/>
  <c r="I151" i="7"/>
  <c r="R145" i="7"/>
  <c r="C113" i="7"/>
  <c r="P108" i="7"/>
  <c r="S149" i="7"/>
  <c r="E166" i="7"/>
  <c r="Q120" i="7"/>
  <c r="E120" i="7"/>
  <c r="E112" i="7"/>
  <c r="Q160" i="7"/>
  <c r="E153" i="7"/>
  <c r="P114" i="7"/>
  <c r="L108" i="7"/>
  <c r="B109" i="7"/>
  <c r="C166" i="7"/>
  <c r="K153" i="7"/>
  <c r="C121" i="7"/>
  <c r="J119" i="7"/>
  <c r="Q114" i="7"/>
  <c r="C128" i="7"/>
  <c r="I152" i="7"/>
  <c r="R151" i="7"/>
  <c r="S146" i="7"/>
  <c r="B129" i="7"/>
  <c r="L146" i="7"/>
  <c r="D160" i="7"/>
  <c r="S125" i="7"/>
  <c r="S110" i="7"/>
  <c r="J108" i="7"/>
  <c r="D113" i="7"/>
  <c r="B142" i="7"/>
  <c r="S121" i="7"/>
  <c r="K113" i="7"/>
  <c r="P149" i="7"/>
  <c r="D145" i="7"/>
  <c r="L151" i="7"/>
  <c r="Q125" i="7"/>
  <c r="J142" i="7"/>
  <c r="I118" i="7"/>
  <c r="Q113" i="7"/>
  <c r="C132" i="7"/>
  <c r="K150" i="7"/>
  <c r="J112" i="7"/>
  <c r="S120" i="7"/>
  <c r="E108" i="7"/>
  <c r="E146" i="7"/>
  <c r="K108" i="7"/>
  <c r="L119" i="7"/>
  <c r="L159" i="7"/>
  <c r="B120" i="7"/>
  <c r="P110" i="7"/>
  <c r="B121" i="7"/>
  <c r="M131" i="7"/>
  <c r="E128" i="7"/>
  <c r="D109" i="7"/>
  <c r="J117" i="7"/>
  <c r="J107" i="7"/>
  <c r="R144" i="7"/>
  <c r="P164" i="7"/>
  <c r="B166" i="7"/>
  <c r="L142" i="7"/>
  <c r="C116" i="7"/>
  <c r="K124" i="7"/>
  <c r="C112" i="7"/>
  <c r="Q156" i="7"/>
  <c r="I146" i="7"/>
  <c r="K142" i="7"/>
  <c r="D122" i="7"/>
  <c r="K112" i="7"/>
  <c r="E132" i="7"/>
  <c r="R110" i="7"/>
  <c r="C110" i="7"/>
  <c r="S150" i="7"/>
  <c r="C108" i="7"/>
  <c r="J109" i="7"/>
  <c r="R123" i="7"/>
  <c r="B161" i="7"/>
  <c r="S143" i="7"/>
  <c r="J124" i="7"/>
  <c r="C161" i="7"/>
  <c r="F129" i="7"/>
  <c r="R142" i="7"/>
  <c r="P144" i="7"/>
  <c r="K115" i="7"/>
  <c r="P123" i="7"/>
  <c r="E133" i="7"/>
  <c r="D155" i="7"/>
  <c r="B154" i="7"/>
  <c r="C130" i="7"/>
  <c r="E155" i="7"/>
  <c r="R121" i="7"/>
  <c r="R120" i="7"/>
  <c r="Q144" i="7"/>
  <c r="D108" i="7"/>
  <c r="Q151" i="7"/>
  <c r="B128" i="7"/>
  <c r="E129" i="7"/>
  <c r="E121" i="7"/>
  <c r="Q142" i="7"/>
  <c r="I124" i="7"/>
  <c r="L111" i="7"/>
  <c r="I119" i="7"/>
  <c r="B110" i="7"/>
  <c r="B146" i="7"/>
  <c r="S108" i="7"/>
  <c r="E116" i="7"/>
  <c r="C133" i="7"/>
  <c r="B115" i="7"/>
  <c r="I115" i="7"/>
  <c r="J158" i="7"/>
  <c r="R149" i="7"/>
  <c r="D153" i="7"/>
  <c r="L150" i="7"/>
  <c r="S144" i="7"/>
  <c r="C114" i="7"/>
  <c r="D143" i="7"/>
  <c r="K111" i="7"/>
  <c r="E115" i="7"/>
  <c r="L113" i="7"/>
  <c r="E110" i="7"/>
  <c r="Q109" i="7"/>
  <c r="I153" i="7"/>
  <c r="S122" i="7"/>
  <c r="L114" i="7"/>
  <c r="B143" i="7"/>
  <c r="B114" i="7"/>
  <c r="D161" i="7"/>
  <c r="J150" i="7"/>
  <c r="R146" i="7"/>
  <c r="K116" i="7"/>
  <c r="Q164" i="7"/>
  <c r="I116" i="7"/>
  <c r="E107" i="7"/>
  <c r="Q112" i="7"/>
  <c r="B160" i="7"/>
  <c r="J113" i="7"/>
  <c r="Q145" i="7"/>
  <c r="R125" i="7"/>
  <c r="L107" i="7"/>
  <c r="D110" i="7"/>
  <c r="L124" i="7"/>
  <c r="F130" i="7"/>
  <c r="Q123" i="7"/>
  <c r="I114" i="7"/>
  <c r="J146" i="7"/>
  <c r="D166" i="7"/>
  <c r="C122" i="7"/>
  <c r="D120" i="7"/>
  <c r="P157" i="7"/>
  <c r="P160" i="7"/>
  <c r="B122" i="7"/>
  <c r="C145" i="7"/>
  <c r="D111" i="7"/>
  <c r="J153" i="7"/>
  <c r="J115" i="7"/>
  <c r="C120" i="7"/>
  <c r="I129" i="7"/>
  <c r="D116" i="7"/>
  <c r="D142" i="7"/>
  <c r="I111" i="7"/>
  <c r="J159" i="7"/>
  <c r="D112" i="7"/>
  <c r="R113" i="7"/>
  <c r="K109" i="7"/>
  <c r="J131" i="7"/>
  <c r="D121" i="7"/>
  <c r="B113" i="7"/>
  <c r="K110" i="7"/>
  <c r="Q143" i="7"/>
  <c r="B153" i="7"/>
  <c r="R150" i="7"/>
  <c r="R108" i="7"/>
  <c r="I109" i="7"/>
  <c r="B155" i="7"/>
  <c r="L117" i="7"/>
  <c r="P151" i="7"/>
  <c r="C129" i="7"/>
  <c r="S142" i="7"/>
  <c r="K117" i="7"/>
  <c r="Q14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<sst xmlns="http://schemas.openxmlformats.org/spreadsheetml/2006/main" count="287" uniqueCount="115">
  <si>
    <t>RANDOM LENGTHS INTERNATIONAL REPORT</t>
  </si>
  <si>
    <t>Date</t>
  </si>
  <si>
    <t>Year</t>
  </si>
  <si>
    <t>Month</t>
  </si>
  <si>
    <t>PRICES TO EXPORTERS</t>
  </si>
  <si>
    <t>SOUTHERN PINE</t>
  </si>
  <si>
    <t>DOUGLAS FIR</t>
  </si>
  <si>
    <t>Merchantable #2</t>
  </si>
  <si>
    <t>KD Saps</t>
  </si>
  <si>
    <t>Clears</t>
  </si>
  <si>
    <t>1x4</t>
  </si>
  <si>
    <t>#2 Clear, 15%#3</t>
  </si>
  <si>
    <t>1x6</t>
  </si>
  <si>
    <t>2x5 &amp; wdr</t>
  </si>
  <si>
    <t>1x8</t>
  </si>
  <si>
    <t>3x6 &amp; wdr</t>
  </si>
  <si>
    <t>1x10</t>
  </si>
  <si>
    <t>4x6 &amp; wdr</t>
  </si>
  <si>
    <t>1x12</t>
  </si>
  <si>
    <t>#4(D)</t>
  </si>
  <si>
    <t>2x4</t>
  </si>
  <si>
    <t>1-5/8x6</t>
  </si>
  <si>
    <t>2x6</t>
  </si>
  <si>
    <t>1-5/8x8</t>
  </si>
  <si>
    <t>2x8</t>
  </si>
  <si>
    <t>1-5/8x10</t>
  </si>
  <si>
    <t>2x10</t>
  </si>
  <si>
    <t>1-5/8x12</t>
  </si>
  <si>
    <t>2x12</t>
  </si>
  <si>
    <t>5/4x6</t>
  </si>
  <si>
    <t>5/4x8</t>
  </si>
  <si>
    <t>5/4x10</t>
  </si>
  <si>
    <t>Merchantable</t>
  </si>
  <si>
    <t>Export Prime</t>
  </si>
  <si>
    <t>5/4x12</t>
  </si>
  <si>
    <t>#1, 25%#2</t>
  </si>
  <si>
    <t>8/4</t>
  </si>
  <si>
    <t>2-1/2x6</t>
  </si>
  <si>
    <t>10/4</t>
  </si>
  <si>
    <t>2-1/2x7</t>
  </si>
  <si>
    <t>12/4</t>
  </si>
  <si>
    <t>3x9</t>
  </si>
  <si>
    <t>Merchantable #1</t>
  </si>
  <si>
    <t>6x12 &amp; wdr</t>
  </si>
  <si>
    <t>2x6 &amp; wdr</t>
  </si>
  <si>
    <t>Select FOHC</t>
  </si>
  <si>
    <t>PLYWOOD</t>
  </si>
  <si>
    <t>Western</t>
  </si>
  <si>
    <t>Southern</t>
  </si>
  <si>
    <t>Sheathing</t>
  </si>
  <si>
    <t>OSB</t>
  </si>
  <si>
    <t>3/8"</t>
  </si>
  <si>
    <t>North Central</t>
  </si>
  <si>
    <t>W. Canada</t>
  </si>
  <si>
    <t>1/2"</t>
  </si>
  <si>
    <t>15/32"</t>
  </si>
  <si>
    <t>7/16"</t>
  </si>
  <si>
    <t>3/4"</t>
  </si>
  <si>
    <t>23/32"</t>
  </si>
  <si>
    <t>Southwest</t>
  </si>
  <si>
    <t>Southeast</t>
  </si>
  <si>
    <t>Underlayment</t>
  </si>
  <si>
    <t>(1) P&amp;TS, add:</t>
  </si>
  <si>
    <t>West</t>
  </si>
  <si>
    <t>South</t>
  </si>
  <si>
    <t>PRICES TO IMPORTERS</t>
  </si>
  <si>
    <t>OSB (Japan)</t>
  </si>
  <si>
    <t>BABY SQUARES (Japan)</t>
  </si>
  <si>
    <t>CLEARS (Northern Europe)</t>
  </si>
  <si>
    <t xml:space="preserve">             4x8 (1220mm x 2440mm)</t>
  </si>
  <si>
    <t>KD Hemlock</t>
  </si>
  <si>
    <t>Hemlock</t>
  </si>
  <si>
    <t>#2 Clears, 15% #3</t>
  </si>
  <si>
    <t>9.5mm non-JAS</t>
  </si>
  <si>
    <t>4-1/8x4-1/8 10'</t>
  </si>
  <si>
    <t>9.0mm JAS</t>
  </si>
  <si>
    <t>4-1/8x4-1/8 13'</t>
  </si>
  <si>
    <t xml:space="preserve">              3x6 (910mm x 1820mm)</t>
  </si>
  <si>
    <t>2-1/2x6 &amp; wdr</t>
  </si>
  <si>
    <t>KD Douglas Fir</t>
  </si>
  <si>
    <t>12.0mm JAS</t>
  </si>
  <si>
    <t>4-1/8x4-1/8 10-20'</t>
  </si>
  <si>
    <t xml:space="preserve">              3x8 (910mm x 2440mm)</t>
  </si>
  <si>
    <t>Cedar</t>
  </si>
  <si>
    <t>#2 Clear&amp;Btr</t>
  </si>
  <si>
    <t>WESTERN S-P-F (Shanghai)</t>
  </si>
  <si>
    <t>7/4x4</t>
  </si>
  <si>
    <t>#2&amp;Btr 2x4</t>
  </si>
  <si>
    <t>7/4x6</t>
  </si>
  <si>
    <t>J-GRADE (Japan)</t>
  </si>
  <si>
    <t>#3/Utility 2x4</t>
  </si>
  <si>
    <t>Western S-P-F</t>
  </si>
  <si>
    <t>#3 2x6</t>
  </si>
  <si>
    <t>#2&amp;Btr 2x4 10/20</t>
  </si>
  <si>
    <t>Economy 2x4</t>
  </si>
  <si>
    <t>#2&amp;Btr 2x10 10/20</t>
  </si>
  <si>
    <t>Economy 2x6</t>
  </si>
  <si>
    <t>EUROPEAN SPRUCE BOARDS</t>
  </si>
  <si>
    <t>2x4 Studs</t>
  </si>
  <si>
    <t>#2 1x4</t>
  </si>
  <si>
    <t>SYP DECKING (Shanghai)</t>
  </si>
  <si>
    <t>#2 1x6</t>
  </si>
  <si>
    <t>HIRAKAKU (Japan)</t>
  </si>
  <si>
    <t>5/4x6 Standard</t>
  </si>
  <si>
    <t>#2 1x8</t>
  </si>
  <si>
    <t>5/4x6 Premium</t>
  </si>
  <si>
    <t>#2 1x10</t>
  </si>
  <si>
    <t>105x150mm&amp;wdr</t>
  </si>
  <si>
    <t>#2 1x12</t>
  </si>
  <si>
    <t>120x150mm&amp;wdr</t>
  </si>
  <si>
    <t>OFFSHORE OSB (Europe, S. America)</t>
  </si>
  <si>
    <t>NEDA (Japan)</t>
  </si>
  <si>
    <t>23/32" T&amp;G</t>
  </si>
  <si>
    <t>45x105mm 13'</t>
  </si>
  <si>
    <r>
      <rPr>
        <b/>
        <sz val="11"/>
        <color theme="1"/>
        <rFont val="Calibri"/>
        <family val="2"/>
        <scheme val="minor"/>
      </rPr>
      <t>Random Lengths International Reports</t>
    </r>
    <r>
      <rPr>
        <sz val="10"/>
        <rFont val="Arial"/>
        <family val="2"/>
      </rPr>
      <t xml:space="preserve"> are published </t>
    </r>
    <r>
      <rPr>
        <b/>
        <u/>
        <sz val="11"/>
        <color theme="1"/>
        <rFont val="Calibri"/>
        <family val="2"/>
        <scheme val="minor"/>
      </rPr>
      <t>every 2 weeks</t>
    </r>
    <r>
      <rPr>
        <sz val="10"/>
        <rFont val="Arial"/>
        <family val="2"/>
      </rPr>
      <t xml:space="preserve"> (typically first and third Wednesday of each month) </t>
    </r>
    <r>
      <rPr>
        <b/>
        <sz val="11"/>
        <color theme="1"/>
        <rFont val="Calibri"/>
        <family val="2"/>
        <scheme val="minor"/>
      </rPr>
      <t xml:space="preserve">on </t>
    </r>
    <r>
      <rPr>
        <b/>
        <u/>
        <sz val="11"/>
        <color theme="1"/>
        <rFont val="Calibri"/>
        <family val="2"/>
        <scheme val="minor"/>
      </rPr>
      <t>Wednesdays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</si>
</sst>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_)"/>
    <numFmt numFmtId="165" formatCode="00"/>
    <numFmt numFmtId="166" formatCode="mm/dd/yy_)"/>
    <numFmt numFmtId="167" formatCode="mm/dd/yy"/>
    <numFmt numFmtId="168" formatCode="\C#,##0"/>
    <numFmt numFmtId="169" formatCode="\+#,##0;\–#,##0;0"/>
    <numFmt numFmtId="170" formatCode="\+\C#,##0;\–\C#,##0;\C0"/>
    <numFmt numFmtId="171" formatCode="[$-409]d\-mmm\-yyyy;@"/>
  </numFmts>
  <fonts count="21" x14ac:knownFonts="1">
    <font>
      <sz val="10"/>
      <name val="Arial"/>
      <family val="2"/>
    </font>
    <font>
      <sz val="10"/>
      <name val="Arial"/>
      <family val="2"/>
    </font>
    <font>
      <b/>
      <i/>
      <sz val="16"/>
      <color indexed="17"/>
      <name val="Arial"/>
      <family val="2"/>
    </font>
    <font>
      <b/>
      <i/>
      <sz val="12"/>
      <color indexed="17"/>
      <name val="Arial"/>
      <family val="2"/>
    </font>
    <font>
      <b/>
      <sz val="10"/>
      <color indexed="10"/>
      <name val="Arial"/>
      <family val="2"/>
    </font>
    <font>
      <sz val="10"/>
      <color indexed="10"/>
      <name val="Arial"/>
      <family val="2"/>
    </font>
    <font>
      <sz val="10"/>
      <color indexed="12"/>
      <name val="Arial"/>
      <family val="2"/>
    </font>
    <font>
      <sz val="10"/>
      <name val="Arial"/>
      <family val="2"/>
    </font>
    <font>
      <sz val="10"/>
      <name val="Courier"/>
      <family val="3"/>
    </font>
    <font>
      <sz val="8"/>
      <name val="Arial"/>
      <family val="2"/>
    </font>
    <font>
      <i/>
      <sz val="10"/>
      <color indexed="10"/>
      <name val="Arial"/>
      <family val="2"/>
    </font>
    <font>
      <sz val="10"/>
      <color indexed="17"/>
      <name val="Arial"/>
      <family val="2"/>
    </font>
    <font>
      <i/>
      <sz val="10"/>
      <color indexed="12"/>
      <name val="Arial"/>
      <family val="2"/>
    </font>
    <font>
      <i/>
      <sz val="10"/>
      <name val="Arial"/>
      <family val="2"/>
    </font>
    <font>
      <b/>
      <sz val="12"/>
      <color indexed="12"/>
      <name val="Arial"/>
      <family val="2"/>
    </font>
    <font>
      <b/>
      <sz val="10"/>
      <name val="Arial"/>
      <family val="2"/>
    </font>
    <font>
      <sz val="10"/>
      <color indexed="8"/>
      <name val="Courier"/>
      <family val="3"/>
    </font>
    <font>
      <sz val="8"/>
      <color indexed="17"/>
      <name val="Arial"/>
      <family val="2"/>
    </font>
    <font>
      <b/>
      <sz val="10"/>
      <color indexed="8"/>
      <name val="Arial"/>
      <family val="2"/>
    </font>
    <font>
      <b/>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theme="7" tint="0.59999389629810485"/>
        <bgColor indexed="64"/>
      </patternFill>
    </fill>
    <fill>
      <patternFill patternType="solid">
        <fgColor rgb="FFFFFF00"/>
        <bgColor indexed="64"/>
      </patternFill>
    </fill>
  </fills>
  <borders count="1">
    <border>
      <left/>
      <right/>
      <top/>
      <bottom/>
      <diagonal/>
    </border>
  </borders>
  <cellStyleXfs count="18">
    <xf numFmtId="164" fontId="0" fillId="0" borderId="0"/>
    <xf numFmtId="3" fontId="1" fillId="2" borderId="0">
      <alignment horizontal="right"/>
    </xf>
    <xf numFmtId="168" fontId="7" fillId="3" borderId="0">
      <alignment horizontal="right"/>
    </xf>
    <xf numFmtId="2" fontId="16" fillId="4" borderId="0">
      <alignment horizontal="right"/>
    </xf>
    <xf numFmtId="2" fontId="8" fillId="5" borderId="0">
      <alignment horizontal="right"/>
    </xf>
    <xf numFmtId="3" fontId="7" fillId="0" borderId="0">
      <alignment horizontal="right"/>
      <protection locked="0"/>
    </xf>
    <xf numFmtId="168" fontId="7" fillId="0" borderId="0">
      <alignment horizontal="right"/>
      <protection locked="0"/>
    </xf>
    <xf numFmtId="168" fontId="1" fillId="0" borderId="0">
      <alignment horizontal="right"/>
      <protection locked="0"/>
    </xf>
    <xf numFmtId="168" fontId="7" fillId="6" borderId="0">
      <alignment horizontal="right"/>
      <protection locked="0"/>
    </xf>
    <xf numFmtId="168" fontId="7" fillId="2" borderId="0">
      <alignment horizontal="right"/>
      <protection locked="0"/>
    </xf>
    <xf numFmtId="3" fontId="1" fillId="7" borderId="0">
      <alignment horizontal="right"/>
      <protection locked="0"/>
    </xf>
    <xf numFmtId="3" fontId="1" fillId="2" borderId="0">
      <alignment horizontal="right"/>
      <protection locked="0"/>
    </xf>
    <xf numFmtId="169" fontId="7" fillId="0" borderId="0">
      <alignment horizontal="right"/>
    </xf>
    <xf numFmtId="170" fontId="1" fillId="0" borderId="0">
      <alignment horizontal="right"/>
    </xf>
    <xf numFmtId="170" fontId="7" fillId="0" borderId="0">
      <alignment horizontal="right"/>
    </xf>
    <xf numFmtId="169" fontId="1" fillId="2" borderId="0">
      <alignment horizontal="right"/>
    </xf>
    <xf numFmtId="3" fontId="1" fillId="0" borderId="0">
      <alignment horizontal="right"/>
      <protection locked="0"/>
    </xf>
    <xf numFmtId="168" fontId="1" fillId="6" borderId="0">
      <alignment horizontal="right"/>
      <protection locked="0"/>
    </xf>
  </cellStyleXfs>
  <cellXfs count="68">
    <xf numFmtId="164" fontId="0" fillId="0" borderId="0" xfId="0"/>
    <xf numFmtId="168" fontId="7" fillId="6" borderId="0" xfId="8" applyProtection="1">
      <alignment horizontal="right"/>
    </xf>
    <xf numFmtId="3" fontId="1" fillId="7" borderId="0" xfId="10" applyProtection="1">
      <alignment horizontal="right"/>
    </xf>
    <xf numFmtId="3" fontId="4" fillId="0" borderId="0" xfId="0" quotePrefix="1" applyNumberFormat="1" applyFont="1" applyAlignment="1">
      <alignment horizontal="left"/>
    </xf>
    <xf numFmtId="3" fontId="6" fillId="0" borderId="0" xfId="0" applyNumberFormat="1" applyFont="1" applyAlignment="1">
      <alignment horizontal="right"/>
    </xf>
    <xf numFmtId="3" fontId="3" fillId="0" borderId="0" xfId="0" quotePrefix="1" applyNumberFormat="1" applyFont="1" applyAlignment="1">
      <alignment horizontal="left"/>
    </xf>
    <xf numFmtId="3" fontId="5" fillId="0" borderId="0" xfId="0" applyNumberFormat="1" applyFont="1" applyAlignment="1">
      <alignment horizontal="left"/>
    </xf>
    <xf numFmtId="3" fontId="4" fillId="0" borderId="0" xfId="0" applyNumberFormat="1" applyFont="1" applyAlignment="1">
      <alignment horizontal="left"/>
    </xf>
    <xf numFmtId="3" fontId="6" fillId="0" borderId="0" xfId="0" applyNumberFormat="1" applyFont="1" applyAlignment="1">
      <alignment horizontal="center"/>
    </xf>
    <xf numFmtId="3" fontId="6" fillId="0" borderId="0" xfId="0" quotePrefix="1" applyNumberFormat="1" applyFont="1" applyAlignment="1">
      <alignment horizontal="right"/>
    </xf>
    <xf numFmtId="3" fontId="6" fillId="0" borderId="0" xfId="0" applyNumberFormat="1" applyFont="1" applyAlignment="1">
      <alignment horizontal="centerContinuous"/>
    </xf>
    <xf numFmtId="167" fontId="3" fillId="0" borderId="0" xfId="0" applyNumberFormat="1" applyFont="1" applyAlignment="1">
      <alignment horizontal="left"/>
    </xf>
    <xf numFmtId="3" fontId="14" fillId="0" borderId="0" xfId="0" applyNumberFormat="1" applyFont="1" applyAlignment="1">
      <alignment horizontal="left"/>
    </xf>
    <xf numFmtId="3" fontId="14" fillId="0" borderId="0" xfId="0" quotePrefix="1" applyNumberFormat="1" applyFont="1" applyAlignment="1">
      <alignment horizontal="left"/>
    </xf>
    <xf numFmtId="164" fontId="0" fillId="0" borderId="0" xfId="0" applyAlignment="1">
      <alignment horizontal="centerContinuous"/>
    </xf>
    <xf numFmtId="164" fontId="15" fillId="0" borderId="0" xfId="0" applyFont="1"/>
    <xf numFmtId="164" fontId="4" fillId="0" borderId="0" xfId="0" applyFont="1" applyAlignment="1">
      <alignment horizontal="center"/>
    </xf>
    <xf numFmtId="164" fontId="4" fillId="0" borderId="0" xfId="0" applyFont="1"/>
    <xf numFmtId="164" fontId="0" fillId="0" borderId="0" xfId="0" applyAlignment="1">
      <alignment horizontal="right"/>
    </xf>
    <xf numFmtId="3" fontId="7" fillId="0" borderId="0" xfId="5" applyProtection="1">
      <alignment horizontal="right"/>
    </xf>
    <xf numFmtId="164" fontId="12" fillId="0" borderId="0" xfId="0" applyFont="1" applyAlignment="1">
      <alignment horizontal="center"/>
    </xf>
    <xf numFmtId="3" fontId="13" fillId="0" borderId="0" xfId="0" applyNumberFormat="1" applyFont="1" applyAlignment="1">
      <alignment horizontal="right"/>
    </xf>
    <xf numFmtId="3" fontId="10" fillId="0" borderId="0" xfId="0" applyNumberFormat="1" applyFont="1" applyAlignment="1">
      <alignment horizontal="right"/>
    </xf>
    <xf numFmtId="3" fontId="11" fillId="0" borderId="0" xfId="0" applyNumberFormat="1" applyFont="1"/>
    <xf numFmtId="168" fontId="7" fillId="0" borderId="0" xfId="6" applyProtection="1">
      <alignment horizontal="right"/>
    </xf>
    <xf numFmtId="164" fontId="2" fillId="0" borderId="0" xfId="0" quotePrefix="1" applyFont="1" applyAlignment="1">
      <alignment horizontal="left"/>
    </xf>
    <xf numFmtId="164" fontId="17" fillId="0" borderId="0" xfId="0" quotePrefix="1" applyFont="1" applyAlignment="1">
      <alignment horizontal="left"/>
    </xf>
    <xf numFmtId="166" fontId="0" fillId="0" borderId="0" xfId="0" applyNumberFormat="1" applyAlignment="1">
      <alignment horizontal="center"/>
    </xf>
    <xf numFmtId="165" fontId="1" fillId="0" borderId="0" xfId="0" applyNumberFormat="1" applyFont="1" applyAlignment="1">
      <alignment horizontal="center"/>
    </xf>
    <xf numFmtId="2" fontId="6" fillId="0" borderId="0" xfId="0" quotePrefix="1" applyNumberFormat="1" applyFont="1" applyAlignment="1">
      <alignment horizontal="right"/>
    </xf>
    <xf numFmtId="171" fontId="18" fillId="8" borderId="0" xfId="0" applyNumberFormat="1" applyFont="1" applyFill="1" applyAlignment="1">
      <alignment horizontal="center"/>
    </xf>
    <xf numFmtId="164" fontId="2" fillId="0" borderId="0" xfId="0" quotePrefix="1" applyFont="1" applyAlignment="1" applyProtection="1">
      <alignment horizontal="left"/>
      <protection locked="0"/>
    </xf>
    <xf numFmtId="164" fontId="0" fillId="0" borderId="0" xfId="0" applyProtection="1">
      <protection locked="0"/>
    </xf>
    <xf numFmtId="164" fontId="1" fillId="0" borderId="0" xfId="0" applyFont="1" applyProtection="1">
      <protection locked="0"/>
    </xf>
    <xf numFmtId="3" fontId="13" fillId="0" borderId="0" xfId="0" applyNumberFormat="1" applyFont="1" applyAlignment="1" applyProtection="1">
      <alignment horizontal="right"/>
      <protection locked="0"/>
    </xf>
    <xf numFmtId="3" fontId="10" fillId="0" borderId="0" xfId="0" applyNumberFormat="1" applyFont="1" applyAlignment="1" applyProtection="1">
      <alignment horizontal="right"/>
      <protection locked="0"/>
    </xf>
    <xf numFmtId="3" fontId="11" fillId="0" borderId="0" xfId="0" applyNumberFormat="1" applyFont="1" applyProtection="1">
      <protection locked="0"/>
    </xf>
    <xf numFmtId="164" fontId="12" fillId="0" borderId="0" xfId="0" applyFont="1" applyAlignment="1" applyProtection="1">
      <alignment horizontal="center"/>
      <protection locked="0"/>
    </xf>
    <xf numFmtId="1" fontId="1" fillId="0" borderId="0" xfId="0" applyNumberFormat="1" applyFont="1" applyAlignment="1" applyProtection="1">
      <alignment horizontal="center"/>
      <protection locked="0"/>
    </xf>
    <xf numFmtId="165" fontId="1"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167" fontId="3" fillId="0" borderId="0" xfId="0" applyNumberFormat="1" applyFont="1" applyAlignment="1" applyProtection="1">
      <alignment horizontal="left"/>
      <protection locked="0"/>
    </xf>
    <xf numFmtId="3" fontId="3" fillId="0" borderId="0" xfId="0" quotePrefix="1" applyNumberFormat="1" applyFont="1" applyAlignment="1" applyProtection="1">
      <alignment horizontal="left"/>
      <protection locked="0"/>
    </xf>
    <xf numFmtId="3" fontId="1" fillId="0" borderId="0" xfId="0" applyNumberFormat="1" applyFont="1" applyProtection="1">
      <protection locked="0"/>
    </xf>
    <xf numFmtId="3" fontId="14" fillId="0" borderId="0" xfId="0" applyNumberFormat="1" applyFont="1" applyAlignment="1" applyProtection="1">
      <alignment horizontal="left"/>
      <protection locked="0"/>
    </xf>
    <xf numFmtId="3" fontId="5" fillId="0" borderId="0" xfId="0" applyNumberFormat="1" applyFont="1" applyAlignment="1" applyProtection="1">
      <alignment horizontal="left"/>
      <protection locked="0"/>
    </xf>
    <xf numFmtId="3" fontId="4" fillId="0" borderId="0" xfId="0" quotePrefix="1" applyNumberFormat="1" applyFont="1" applyAlignment="1" applyProtection="1">
      <alignment horizontal="left"/>
      <protection locked="0"/>
    </xf>
    <xf numFmtId="3" fontId="4" fillId="0" borderId="0" xfId="0" applyNumberFormat="1" applyFont="1" applyAlignment="1" applyProtection="1">
      <alignment horizontal="left"/>
      <protection locked="0"/>
    </xf>
    <xf numFmtId="3" fontId="6" fillId="0" borderId="0" xfId="0" applyNumberFormat="1" applyFont="1" applyAlignment="1" applyProtection="1">
      <alignment horizontal="right"/>
      <protection locked="0"/>
    </xf>
    <xf numFmtId="3" fontId="1" fillId="0" borderId="0" xfId="16">
      <alignment horizontal="right"/>
      <protection locked="0"/>
    </xf>
    <xf numFmtId="3" fontId="1" fillId="7" borderId="0" xfId="10">
      <alignment horizontal="right"/>
      <protection locked="0"/>
    </xf>
    <xf numFmtId="164" fontId="0" fillId="0" borderId="0" xfId="0" applyAlignment="1" applyProtection="1">
      <alignment horizontal="centerContinuous"/>
      <protection locked="0"/>
    </xf>
    <xf numFmtId="3" fontId="6" fillId="0" borderId="0" xfId="0" applyNumberFormat="1" applyFont="1" applyAlignment="1" applyProtection="1">
      <alignment horizontal="centerContinuous"/>
      <protection locked="0"/>
    </xf>
    <xf numFmtId="2" fontId="6" fillId="0" borderId="0" xfId="0" quotePrefix="1" applyNumberFormat="1" applyFont="1" applyAlignment="1" applyProtection="1">
      <alignment horizontal="right"/>
      <protection locked="0"/>
    </xf>
    <xf numFmtId="3" fontId="6" fillId="0" borderId="0" xfId="0" quotePrefix="1" applyNumberFormat="1" applyFont="1" applyAlignment="1" applyProtection="1">
      <alignment horizontal="right"/>
      <protection locked="0"/>
    </xf>
    <xf numFmtId="164" fontId="15" fillId="0" borderId="0" xfId="0" applyFont="1" applyProtection="1">
      <protection locked="0"/>
    </xf>
    <xf numFmtId="164" fontId="4" fillId="0" borderId="0" xfId="0" applyFont="1" applyAlignment="1" applyProtection="1">
      <alignment horizontal="center"/>
      <protection locked="0"/>
    </xf>
    <xf numFmtId="164" fontId="4" fillId="0" borderId="0" xfId="0" applyFont="1" applyProtection="1">
      <protection locked="0"/>
    </xf>
    <xf numFmtId="164" fontId="17" fillId="0" borderId="0" xfId="0" quotePrefix="1" applyFont="1" applyAlignment="1" applyProtection="1">
      <alignment horizontal="left"/>
      <protection locked="0"/>
    </xf>
    <xf numFmtId="3" fontId="14" fillId="0" borderId="0" xfId="0" quotePrefix="1" applyNumberFormat="1" applyFont="1" applyAlignment="1" applyProtection="1">
      <alignment horizontal="left"/>
      <protection locked="0"/>
    </xf>
    <xf numFmtId="168" fontId="1" fillId="0" borderId="0" xfId="7">
      <alignment horizontal="right"/>
      <protection locked="0"/>
    </xf>
    <xf numFmtId="168" fontId="1" fillId="6" borderId="0" xfId="17">
      <alignment horizontal="right"/>
      <protection locked="0"/>
    </xf>
    <xf numFmtId="164" fontId="0" fillId="0" borderId="0" xfId="0" applyAlignment="1" applyProtection="1">
      <alignment horizontal="right"/>
      <protection locked="0"/>
    </xf>
    <xf numFmtId="3" fontId="6" fillId="0" borderId="0" xfId="0" applyNumberFormat="1" applyFont="1" applyAlignment="1" applyProtection="1">
      <alignment horizontal="center"/>
      <protection locked="0"/>
    </xf>
    <xf numFmtId="171" fontId="18" fillId="9" borderId="0" xfId="0" applyNumberFormat="1" applyFont="1" applyFill="1" applyAlignment="1">
      <alignment horizontal="center"/>
    </xf>
    <xf numFmtId="164" fontId="1" fillId="0" borderId="0" xfId="0" applyFont="1"/>
    <xf numFmtId="1" fontId="1" fillId="0" borderId="0" xfId="0" applyNumberFormat="1" applyFont="1" applyAlignment="1">
      <alignment horizontal="center"/>
    </xf>
    <xf numFmtId="3" fontId="1" fillId="0" borderId="0" xfId="0" applyNumberFormat="1" applyFont="1"/>
  </cellXfs>
  <cellStyles count="18">
    <cellStyle name="calcPrice" xfId="1" xr:uid="{00000000-0005-0000-0000-000000000000}"/>
    <cellStyle name="calcPrice$C" xfId="2" xr:uid="{00000000-0005-0000-0000-000001000000}"/>
    <cellStyle name="DbPrice" xfId="3" xr:uid="{00000000-0005-0000-0000-000002000000}"/>
    <cellStyle name="DbTag" xfId="4" xr:uid="{00000000-0005-0000-0000-000003000000}"/>
    <cellStyle name="Normal" xfId="0" builtinId="0"/>
    <cellStyle name="Price" xfId="5" xr:uid="{00000000-0005-0000-0000-000005000000}"/>
    <cellStyle name="Price 2" xfId="16" xr:uid="{020318B2-04E7-40EB-8E8D-726D4AC8B78F}"/>
    <cellStyle name="Price$C" xfId="6" xr:uid="{00000000-0005-0000-0000-000006000000}"/>
    <cellStyle name="Price$C 2" xfId="7" xr:uid="{00000000-0005-0000-0000-000007000000}"/>
    <cellStyle name="Price$CCalc" xfId="8" xr:uid="{00000000-0005-0000-0000-000008000000}"/>
    <cellStyle name="Price$CCalc 2" xfId="9" xr:uid="{00000000-0005-0000-0000-000009000000}"/>
    <cellStyle name="Price$CCalc 3" xfId="17" xr:uid="{75C4CA7F-4A9E-4CD4-B9F2-B64DE5BEF40C}"/>
    <cellStyle name="PriceCalc" xfId="10" xr:uid="{00000000-0005-0000-0000-00000A000000}"/>
    <cellStyle name="PriceCalc 2" xfId="11" xr:uid="{00000000-0005-0000-0000-00000B000000}"/>
    <cellStyle name="UpsDowns" xfId="12" xr:uid="{00000000-0005-0000-0000-00000C000000}"/>
    <cellStyle name="UpsDowns$C" xfId="13" xr:uid="{00000000-0005-0000-0000-00000D000000}"/>
    <cellStyle name="UpsDowns$CCalc" xfId="14" xr:uid="{00000000-0005-0000-0000-00000E000000}"/>
    <cellStyle name="UpsDownsCalc" xfId="15" xr:uid="{00000000-0005-0000-0000-00000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16</xdr:row>
      <xdr:rowOff>0</xdr:rowOff>
    </xdr:to>
    <xdr:grpSp>
      <xdr:nvGrpSpPr>
        <xdr:cNvPr id="2" name="Group 1">
          <a:extLst>
            <a:ext uri="{FF2B5EF4-FFF2-40B4-BE49-F238E27FC236}">
              <a16:creationId xmlns:a16="http://schemas.microsoft.com/office/drawing/2014/main" id="{B30F9CE2-291C-43EE-8FDC-C58B461EDAF0}"/>
            </a:ext>
          </a:extLst>
        </xdr:cNvPr>
        <xdr:cNvGrpSpPr>
          <a:grpSpLocks/>
        </xdr:cNvGrpSpPr>
      </xdr:nvGrpSpPr>
      <xdr:grpSpPr bwMode="auto">
        <a:xfrm>
          <a:off x="0" y="0"/>
          <a:ext cx="7753350" cy="2686050"/>
          <a:chOff x="0" y="0"/>
          <a:chExt cx="7410450" cy="2686050"/>
        </a:xfrm>
      </xdr:grpSpPr>
      <xdr:sp macro="" textlink="">
        <xdr:nvSpPr>
          <xdr:cNvPr id="3" name="Rectangle 21">
            <a:extLst>
              <a:ext uri="{FF2B5EF4-FFF2-40B4-BE49-F238E27FC236}">
                <a16:creationId xmlns:a16="http://schemas.microsoft.com/office/drawing/2014/main" id="{D60B6E27-6FF7-6E8C-AFF7-6709DB40DA65}"/>
              </a:ext>
            </a:extLst>
          </xdr:cNvPr>
          <xdr:cNvSpPr>
            <a:spLocks noChangeArrowheads="1"/>
          </xdr:cNvSpPr>
        </xdr:nvSpPr>
        <xdr:spPr bwMode="auto">
          <a:xfrm>
            <a:off x="0" y="0"/>
            <a:ext cx="7410450" cy="2686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49">
            <a:extLst>
              <a:ext uri="{FF2B5EF4-FFF2-40B4-BE49-F238E27FC236}">
                <a16:creationId xmlns:a16="http://schemas.microsoft.com/office/drawing/2014/main" id="{56EA85A5-63AB-EE8B-ADE9-2796547A5752}"/>
              </a:ext>
            </a:extLst>
          </xdr:cNvPr>
          <xdr:cNvSpPr txBox="1">
            <a:spLocks noChangeArrowheads="1"/>
          </xdr:cNvSpPr>
        </xdr:nvSpPr>
        <xdr:spPr bwMode="auto">
          <a:xfrm>
            <a:off x="264985" y="2009775"/>
            <a:ext cx="6898754" cy="5619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International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5 starts at cell A101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5" name="Text 53">
            <a:extLst>
              <a:ext uri="{FF2B5EF4-FFF2-40B4-BE49-F238E27FC236}">
                <a16:creationId xmlns:a16="http://schemas.microsoft.com/office/drawing/2014/main" id="{E530A6B5-5C00-CD86-1953-4B59CAA02A49}"/>
              </a:ext>
            </a:extLst>
          </xdr:cNvPr>
          <xdr:cNvSpPr txBox="1">
            <a:spLocks noChangeArrowheads="1"/>
          </xdr:cNvSpPr>
        </xdr:nvSpPr>
        <xdr:spPr bwMode="auto">
          <a:xfrm>
            <a:off x="4678361" y="142875"/>
            <a:ext cx="2585891" cy="18097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oneCellAnchor>
    <xdr:from>
      <xdr:col>0</xdr:col>
      <xdr:colOff>142875</xdr:colOff>
      <xdr:row>0</xdr:row>
      <xdr:rowOff>161925</xdr:rowOff>
    </xdr:from>
    <xdr:ext cx="4343400" cy="1514475"/>
    <xdr:pic>
      <xdr:nvPicPr>
        <xdr:cNvPr id="6" name="Picture 1">
          <a:extLst>
            <a:ext uri="{FF2B5EF4-FFF2-40B4-BE49-F238E27FC236}">
              <a16:creationId xmlns:a16="http://schemas.microsoft.com/office/drawing/2014/main" id="{787904D3-4358-47F3-A240-6D8E7CA8E1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61925"/>
          <a:ext cx="43434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23</xdr:row>
      <xdr:rowOff>9525</xdr:rowOff>
    </xdr:from>
    <xdr:to>
      <xdr:col>5</xdr:col>
      <xdr:colOff>304800</xdr:colOff>
      <xdr:row>29</xdr:row>
      <xdr:rowOff>95250</xdr:rowOff>
    </xdr:to>
    <xdr:sp macro="" textlink="">
      <xdr:nvSpPr>
        <xdr:cNvPr id="7" name="TextBox 6">
          <a:extLst>
            <a:ext uri="{FF2B5EF4-FFF2-40B4-BE49-F238E27FC236}">
              <a16:creationId xmlns:a16="http://schemas.microsoft.com/office/drawing/2014/main" id="{B0E80801-3A0A-413B-9AC6-D56564ED3663}"/>
            </a:ext>
          </a:extLst>
        </xdr:cNvPr>
        <xdr:cNvSpPr txBox="1"/>
      </xdr:nvSpPr>
      <xdr:spPr>
        <a:xfrm>
          <a:off x="1181100" y="3829050"/>
          <a:ext cx="3219450"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t>This version</a:t>
          </a:r>
          <a:r>
            <a:rPr lang="en-US" sz="1400" baseline="0"/>
            <a:t> can ONLY be used to generate file with the latest values. The latest publication date is automatically filled </a:t>
          </a:r>
          <a:r>
            <a:rPr lang="en-US" sz="1400" b="1" baseline="0">
              <a:solidFill>
                <a:schemeClr val="dk1"/>
              </a:solidFill>
              <a:effectLst/>
              <a:latin typeface="+mn-lt"/>
              <a:ea typeface="+mn-ea"/>
              <a:cs typeface="+mn-cs"/>
            </a:rPr>
            <a:t>in the highlighted cell (B22).</a:t>
          </a:r>
          <a:endParaRPr lang="en-US" sz="1400">
            <a:effectLst/>
          </a:endParaRP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16</xdr:row>
      <xdr:rowOff>0</xdr:rowOff>
    </xdr:to>
    <xdr:grpSp>
      <xdr:nvGrpSpPr>
        <xdr:cNvPr id="39717" name="Group 1">
          <a:extLst>
            <a:ext uri="{FF2B5EF4-FFF2-40B4-BE49-F238E27FC236}">
              <a16:creationId xmlns:a16="http://schemas.microsoft.com/office/drawing/2014/main" id="{00000000-0008-0000-0100-0000259B0000}"/>
            </a:ext>
          </a:extLst>
        </xdr:cNvPr>
        <xdr:cNvGrpSpPr>
          <a:grpSpLocks/>
        </xdr:cNvGrpSpPr>
      </xdr:nvGrpSpPr>
      <xdr:grpSpPr bwMode="auto">
        <a:xfrm>
          <a:off x="0" y="0"/>
          <a:ext cx="7724775" cy="2686050"/>
          <a:chOff x="0" y="0"/>
          <a:chExt cx="7410450" cy="2686050"/>
        </a:xfrm>
      </xdr:grpSpPr>
      <xdr:sp macro="" textlink="">
        <xdr:nvSpPr>
          <xdr:cNvPr id="39719" name="Rectangle 21">
            <a:extLst>
              <a:ext uri="{FF2B5EF4-FFF2-40B4-BE49-F238E27FC236}">
                <a16:creationId xmlns:a16="http://schemas.microsoft.com/office/drawing/2014/main" id="{00000000-0008-0000-0100-0000279B0000}"/>
              </a:ext>
            </a:extLst>
          </xdr:cNvPr>
          <xdr:cNvSpPr>
            <a:spLocks noChangeArrowheads="1"/>
          </xdr:cNvSpPr>
        </xdr:nvSpPr>
        <xdr:spPr bwMode="auto">
          <a:xfrm>
            <a:off x="0" y="0"/>
            <a:ext cx="7410450" cy="2686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90" name="Text 49">
            <a:extLst>
              <a:ext uri="{FF2B5EF4-FFF2-40B4-BE49-F238E27FC236}">
                <a16:creationId xmlns:a16="http://schemas.microsoft.com/office/drawing/2014/main" id="{00000000-0008-0000-0100-0000161C0000}"/>
              </a:ext>
            </a:extLst>
          </xdr:cNvPr>
          <xdr:cNvSpPr txBox="1">
            <a:spLocks noChangeArrowheads="1"/>
          </xdr:cNvSpPr>
        </xdr:nvSpPr>
        <xdr:spPr bwMode="auto">
          <a:xfrm>
            <a:off x="264985" y="2009775"/>
            <a:ext cx="6898754" cy="5619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International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5 starts at cell A101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7191" name="Text 53">
            <a:extLst>
              <a:ext uri="{FF2B5EF4-FFF2-40B4-BE49-F238E27FC236}">
                <a16:creationId xmlns:a16="http://schemas.microsoft.com/office/drawing/2014/main" id="{00000000-0008-0000-0100-0000171C0000}"/>
              </a:ext>
            </a:extLst>
          </xdr:cNvPr>
          <xdr:cNvSpPr txBox="1">
            <a:spLocks noChangeArrowheads="1"/>
          </xdr:cNvSpPr>
        </xdr:nvSpPr>
        <xdr:spPr bwMode="auto">
          <a:xfrm>
            <a:off x="4678361" y="142875"/>
            <a:ext cx="2585891" cy="18097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0</xdr:col>
      <xdr:colOff>142875</xdr:colOff>
      <xdr:row>0</xdr:row>
      <xdr:rowOff>161925</xdr:rowOff>
    </xdr:from>
    <xdr:to>
      <xdr:col>5</xdr:col>
      <xdr:colOff>419100</xdr:colOff>
      <xdr:row>9</xdr:row>
      <xdr:rowOff>123825</xdr:rowOff>
    </xdr:to>
    <xdr:pic>
      <xdr:nvPicPr>
        <xdr:cNvPr id="39718" name="Picture 1">
          <a:extLst>
            <a:ext uri="{FF2B5EF4-FFF2-40B4-BE49-F238E27FC236}">
              <a16:creationId xmlns:a16="http://schemas.microsoft.com/office/drawing/2014/main" id="{00000000-0008-0000-0100-0000269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61925"/>
          <a:ext cx="43434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1171575</xdr:colOff>
      <xdr:row>22</xdr:row>
      <xdr:rowOff>152401</xdr:rowOff>
    </xdr:from>
    <xdr:to>
      <xdr:col>5</xdr:col>
      <xdr:colOff>323850</xdr:colOff>
      <xdr:row>26</xdr:row>
      <xdr:rowOff>95251</xdr:rowOff>
    </xdr:to>
    <xdr:sp macro="" textlink="">
      <xdr:nvSpPr>
        <xdr:cNvPr id="3" name="TextBox 2">
          <a:extLst>
            <a:ext uri="{FF2B5EF4-FFF2-40B4-BE49-F238E27FC236}">
              <a16:creationId xmlns:a16="http://schemas.microsoft.com/office/drawing/2014/main" id="{E80CEA55-3139-453F-B35B-D3DCF7C14CA3}"/>
            </a:ext>
          </a:extLst>
        </xdr:cNvPr>
        <xdr:cNvSpPr txBox="1"/>
      </xdr:nvSpPr>
      <xdr:spPr>
        <a:xfrm>
          <a:off x="1171575" y="3810001"/>
          <a:ext cx="3219450" cy="5905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t>Specify</a:t>
          </a:r>
          <a:r>
            <a:rPr lang="en-US" sz="1400" b="1" baseline="0"/>
            <a:t> a past publication date </a:t>
          </a:r>
          <a:r>
            <a:rPr lang="en-US" sz="1400" b="1" baseline="0">
              <a:solidFill>
                <a:schemeClr val="dk1"/>
              </a:solidFill>
              <a:effectLst/>
              <a:latin typeface="+mn-lt"/>
              <a:ea typeface="+mn-ea"/>
              <a:cs typeface="+mn-cs"/>
            </a:rPr>
            <a:t>in the highlighted cell (B22)</a:t>
          </a:r>
          <a:endParaRPr lang="en-US" sz="1400" b="1">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6148-F7F3-4E68-B81F-3CA7CAAA87DA}">
  <sheetPr>
    <pageSetUpPr fitToPage="1"/>
  </sheetPr>
  <dimension ref="A1:BF166"/>
  <sheetViews>
    <sheetView tabSelected="1" zoomScaleNormal="100" workbookViewId="0">
      <selection activeCell="B22" sqref="B22"/>
    </sheetView>
  </sheetViews>
  <sheetFormatPr defaultRowHeight="12.75" x14ac:dyDescent="0.2"/>
  <cols>
    <col min="1" max="1" width="17.7109375" style="32" customWidth="1"/>
    <col min="2" max="2" width="16.28515625" style="32" bestFit="1" customWidth="1"/>
    <col min="3" max="26" width="9.140625" style="32"/>
    <col min="27" max="27" width="11.42578125" style="32" customWidth="1"/>
    <col min="28" max="28" width="12.42578125" style="32" customWidth="1"/>
    <col min="29" max="29" width="13" style="32" customWidth="1"/>
    <col min="30" max="30" width="14.42578125" style="32" customWidth="1"/>
    <col min="31" max="31" width="10.7109375" style="32" customWidth="1"/>
    <col min="32" max="36" width="9.140625" style="32"/>
    <col min="37" max="37" width="11.42578125" style="32" customWidth="1"/>
    <col min="38" max="52" width="9.140625" style="32"/>
    <col min="53" max="53" width="10.140625" style="32" customWidth="1"/>
    <col min="54" max="16384" width="9.140625" style="32"/>
  </cols>
  <sheetData>
    <row r="1" spans="1:17" ht="20.25" x14ac:dyDescent="0.3">
      <c r="A1" s="31" t="s">
        <v>0</v>
      </c>
    </row>
    <row r="3" spans="1:17" x14ac:dyDescent="0.2">
      <c r="O3" s="33"/>
      <c r="P3" s="33"/>
      <c r="Q3" s="33"/>
    </row>
    <row r="4" spans="1:17" x14ac:dyDescent="0.2">
      <c r="O4" s="33"/>
      <c r="P4" s="34"/>
      <c r="Q4" s="33"/>
    </row>
    <row r="5" spans="1:17" x14ac:dyDescent="0.2">
      <c r="O5" s="33"/>
      <c r="P5" s="34"/>
      <c r="Q5" s="33"/>
    </row>
    <row r="6" spans="1:17" x14ac:dyDescent="0.2">
      <c r="O6" s="33"/>
      <c r="P6" s="34"/>
      <c r="Q6" s="33"/>
    </row>
    <row r="7" spans="1:17" x14ac:dyDescent="0.2">
      <c r="O7" s="33"/>
      <c r="P7" s="33"/>
      <c r="Q7" s="33"/>
    </row>
    <row r="8" spans="1:17" x14ac:dyDescent="0.2">
      <c r="O8" s="33"/>
      <c r="P8" s="33"/>
      <c r="Q8" s="33"/>
    </row>
    <row r="9" spans="1:17" x14ac:dyDescent="0.2">
      <c r="B9" s="35"/>
      <c r="D9" s="36"/>
      <c r="O9" s="33"/>
      <c r="P9" s="33"/>
      <c r="Q9" s="33"/>
    </row>
    <row r="10" spans="1:17" x14ac:dyDescent="0.2">
      <c r="B10" s="35"/>
      <c r="O10" s="33"/>
      <c r="P10" s="33"/>
      <c r="Q10" s="33"/>
    </row>
    <row r="11" spans="1:17" x14ac:dyDescent="0.2">
      <c r="B11" s="35"/>
      <c r="O11" s="33"/>
      <c r="P11" s="33"/>
      <c r="Q11" s="33"/>
    </row>
    <row r="21" spans="2:6" x14ac:dyDescent="0.2">
      <c r="B21" s="37" t="s">
        <v>1</v>
      </c>
      <c r="C21" s="37" t="s">
        <v>2</v>
      </c>
      <c r="D21" s="37" t="s">
        <v>3</v>
      </c>
      <c r="E21" s="37"/>
      <c r="F21" s="37"/>
    </row>
    <row r="22" spans="2:6" x14ac:dyDescent="0.2">
      <c r="B22" s="64" cm="1">
        <f t="array" aca="1" ref="B22" ca="1">_xll.GetPrice("FP-LBR-0042","Actual","AssessmentDate", TODAY())</f>
        <v>45630.4375</v>
      </c>
      <c r="C22" s="38">
        <f ca="1">YEAR(_LATESTvarPubDate)</f>
        <v>2024</v>
      </c>
      <c r="D22" s="39">
        <f ca="1">MONTH(_LATESTvarPubDate)</f>
        <v>12</v>
      </c>
      <c r="E22" s="39"/>
      <c r="F22" s="39"/>
    </row>
    <row r="23" spans="2:6" x14ac:dyDescent="0.2">
      <c r="B23" s="40"/>
    </row>
    <row r="24" spans="2:6" x14ac:dyDescent="0.2">
      <c r="B24" s="40"/>
    </row>
    <row r="101" spans="1:58" ht="15" x14ac:dyDescent="0.2">
      <c r="A101" s="41">
        <f ca="1">_LATESTvarPubDate</f>
        <v>45630.4375</v>
      </c>
      <c r="B101" s="42" t="str">
        <f>$A$1</f>
        <v>RANDOM LENGTHS INTERNATIONAL REPORT</v>
      </c>
      <c r="BC101" s="43"/>
      <c r="BD101" s="43"/>
      <c r="BE101" s="43"/>
      <c r="BF101" s="43"/>
    </row>
    <row r="103" spans="1:58" ht="15.75" x14ac:dyDescent="0.25">
      <c r="A103" s="44" t="s">
        <v>4</v>
      </c>
    </row>
    <row r="104" spans="1:58" x14ac:dyDescent="0.2">
      <c r="A104" s="45"/>
    </row>
    <row r="105" spans="1:58" x14ac:dyDescent="0.2">
      <c r="A105" s="46" t="s">
        <v>5</v>
      </c>
      <c r="H105" s="46" t="s">
        <v>5</v>
      </c>
      <c r="O105" s="46" t="s">
        <v>6</v>
      </c>
    </row>
    <row r="106" spans="1:58" x14ac:dyDescent="0.2">
      <c r="A106" s="47" t="s">
        <v>7</v>
      </c>
      <c r="H106" s="47" t="s">
        <v>8</v>
      </c>
      <c r="O106" s="47" t="s">
        <v>9</v>
      </c>
    </row>
    <row r="107" spans="1:58" x14ac:dyDescent="0.2">
      <c r="A107" s="48" t="s">
        <v>10</v>
      </c>
      <c r="B107" s="49" cm="1">
        <f t="array" aca="1" ref="B107" ca="1">_xll.GetPrice("FP-LBR-0020","Actual","Low",_LATESTvarPubDate)</f>
        <v>995</v>
      </c>
      <c r="C107" s="49" cm="1">
        <f t="array" aca="1" ref="C107" ca="1">_xll.GetPrice("FP-LBR-0020","Actual","High",_LATESTvarPubDate)</f>
        <v>1015</v>
      </c>
      <c r="D107" s="50">
        <f t="array" aca="1" ref="D107" ca="1">_xll.GetPrice("FP-LBR-0077","Actual","Low",_LATESTvarPubDate)</f>
        <v>422</v>
      </c>
      <c r="E107" s="50">
        <f t="array" aca="1" ref="E107" ca="1">_xll.GetPrice("FP-LBR-0077","Actual","High",_LATESTvarPubDate)</f>
        <v>430</v>
      </c>
      <c r="H107" s="48" t="s">
        <v>10</v>
      </c>
      <c r="I107" s="49">
        <f t="array" aca="1" ref="I107" ca="1">_xll.GetPrice("FP-LBR-0025","Actual","Low",_LATESTvarPubDate)</f>
        <v>950</v>
      </c>
      <c r="J107" s="49">
        <f t="array" aca="1" ref="J107" ca="1">_xll.GetPrice("FP-LBR-0025","Actual","High",_LATESTvarPubDate)</f>
        <v>1175</v>
      </c>
      <c r="K107" s="50">
        <f t="array" aca="1" ref="K107" ca="1">_xll.GetPrice("FP-LBR-0087","Actual","Low",_LATESTvarPubDate)</f>
        <v>403</v>
      </c>
      <c r="L107" s="50">
        <f t="array" aca="1" ref="L107" ca="1">_xll.GetPrice("FP-LBR-0087","Actual","High",_LATESTvarPubDate)</f>
        <v>498</v>
      </c>
      <c r="R107" s="48" t="s">
        <v>11</v>
      </c>
    </row>
    <row r="108" spans="1:58" x14ac:dyDescent="0.2">
      <c r="A108" s="48" t="s">
        <v>12</v>
      </c>
      <c r="B108" s="49">
        <f t="array" aca="1" ref="B108" ca="1">_xll.GetPrice("FP-LBR-0021","Actual","Low",_LATESTvarPubDate)</f>
        <v>620</v>
      </c>
      <c r="C108" s="49">
        <f t="array" aca="1" ref="C108" ca="1">_xll.GetPrice("FP-LBR-0021","Actual","High",_LATESTvarPubDate)</f>
        <v>640</v>
      </c>
      <c r="D108" s="50">
        <f t="array" aca="1" ref="D108" ca="1">_xll.GetPrice("FP-LBR-0078","Actual","Low",_LATESTvarPubDate)</f>
        <v>263</v>
      </c>
      <c r="E108" s="50">
        <f t="array" aca="1" ref="E108" ca="1">_xll.GetPrice("FP-LBR-0078","Actual","High",_LATESTvarPubDate)</f>
        <v>271</v>
      </c>
      <c r="H108" s="48" t="s">
        <v>12</v>
      </c>
      <c r="I108" s="49">
        <f t="array" aca="1" ref="I108" ca="1">_xll.GetPrice("FP-LBR-0026","Actual","Low",_LATESTvarPubDate)</f>
        <v>1070</v>
      </c>
      <c r="J108" s="49">
        <f t="array" aca="1" ref="J108" ca="1">_xll.GetPrice("FP-LBR-0026","Actual","High",_LATESTvarPubDate)</f>
        <v>1085</v>
      </c>
      <c r="K108" s="50">
        <f t="array" aca="1" ref="K108" ca="1">_xll.GetPrice("FP-LBR-0088","Actual","Low",_LATESTvarPubDate)</f>
        <v>454</v>
      </c>
      <c r="L108" s="50">
        <f t="array" aca="1" ref="L108" ca="1">_xll.GetPrice("FP-LBR-0088","Actual","High",_LATESTvarPubDate)</f>
        <v>460</v>
      </c>
      <c r="O108" s="48" t="s">
        <v>13</v>
      </c>
      <c r="P108" s="49">
        <f t="array" aca="1" ref="P108" ca="1">_xll.GetPrice("FP-LBR-0042","Actual","Low",_LATESTvarPubDate)</f>
        <v>2950</v>
      </c>
      <c r="Q108" s="49">
        <f t="array" aca="1" ref="Q108" ca="1">_xll.GetPrice("FP-LBR-0042","Actual","High",_LATESTvarPubDate)</f>
        <v>3150</v>
      </c>
      <c r="R108" s="50">
        <f t="array" aca="1" ref="R108" ca="1">_xll.GetPrice("FP-LBR-0104","Actual","Low",_LATESTvarPubDate)</f>
        <v>1251</v>
      </c>
      <c r="S108" s="50">
        <f t="array" aca="1" ref="S108" ca="1">_xll.GetPrice("FP-LBR-0104","Actual","High",_LATESTvarPubDate)</f>
        <v>1336</v>
      </c>
    </row>
    <row r="109" spans="1:58" x14ac:dyDescent="0.2">
      <c r="A109" s="48" t="s">
        <v>14</v>
      </c>
      <c r="B109" s="49">
        <f t="array" aca="1" ref="B109" ca="1">_xll.GetPrice("FP-LBR-0022","Actual","Low",_LATESTvarPubDate)</f>
        <v>765</v>
      </c>
      <c r="C109" s="49">
        <f t="array" aca="1" ref="C109" ca="1">_xll.GetPrice("FP-LBR-0022","Actual","High",_LATESTvarPubDate)</f>
        <v>785</v>
      </c>
      <c r="D109" s="50">
        <f t="array" aca="1" ref="D109" ca="1">_xll.GetPrice("FP-LBR-0079","Actual","Low",_LATESTvarPubDate)</f>
        <v>324</v>
      </c>
      <c r="E109" s="50">
        <f t="array" aca="1" ref="E109" ca="1">_xll.GetPrice("FP-LBR-0079","Actual","High",_LATESTvarPubDate)</f>
        <v>333</v>
      </c>
      <c r="H109" s="48" t="s">
        <v>14</v>
      </c>
      <c r="I109" s="49">
        <f t="array" aca="1" ref="I109" ca="1">_xll.GetPrice("FP-LBR-0027","Actual","Low",_LATESTvarPubDate)</f>
        <v>1055</v>
      </c>
      <c r="J109" s="49">
        <f t="array" aca="1" ref="J109" ca="1">_xll.GetPrice("FP-LBR-0027","Actual","High",_LATESTvarPubDate)</f>
        <v>1145</v>
      </c>
      <c r="K109" s="50">
        <f t="array" aca="1" ref="K109" ca="1">_xll.GetPrice("FP-LBR-0089","Actual","Low",_LATESTvarPubDate)</f>
        <v>447</v>
      </c>
      <c r="L109" s="50">
        <f t="array" aca="1" ref="L109" ca="1">_xll.GetPrice("FP-LBR-0089","Actual","High",_LATESTvarPubDate)</f>
        <v>485</v>
      </c>
      <c r="O109" s="48" t="s">
        <v>15</v>
      </c>
      <c r="P109" s="49">
        <f t="array" aca="1" ref="P109" ca="1">_xll.GetPrice("FP-LBR-0043","Actual","Low",_LATESTvarPubDate)</f>
        <v>3150</v>
      </c>
      <c r="Q109" s="49">
        <f t="array" aca="1" ref="Q109" ca="1">_xll.GetPrice("FP-LBR-0043","Actual","High",_LATESTvarPubDate)</f>
        <v>3400</v>
      </c>
      <c r="R109" s="50">
        <f t="array" aca="1" ref="R109" ca="1">_xll.GetPrice("FP-LBR-0105","Actual","Low",_LATESTvarPubDate)</f>
        <v>1336</v>
      </c>
      <c r="S109" s="50">
        <f t="array" aca="1" ref="S109" ca="1">_xll.GetPrice("FP-LBR-0105","Actual","High",_LATESTvarPubDate)</f>
        <v>1442</v>
      </c>
    </row>
    <row r="110" spans="1:58" x14ac:dyDescent="0.2">
      <c r="A110" s="48" t="s">
        <v>16</v>
      </c>
      <c r="B110" s="49">
        <f t="array" aca="1" ref="B110" ca="1">_xll.GetPrice("FP-LBR-0023","Actual","Low",_LATESTvarPubDate)</f>
        <v>910</v>
      </c>
      <c r="C110" s="49">
        <f t="array" aca="1" ref="C110" ca="1">_xll.GetPrice("FP-LBR-0023","Actual","High",_LATESTvarPubDate)</f>
        <v>930</v>
      </c>
      <c r="D110" s="50">
        <f t="array" aca="1" ref="D110" ca="1">_xll.GetPrice("FP-LBR-0080","Actual","Low",_LATESTvarPubDate)</f>
        <v>386</v>
      </c>
      <c r="E110" s="50">
        <f t="array" aca="1" ref="E110" ca="1">_xll.GetPrice("FP-LBR-0080","Actual","High",_LATESTvarPubDate)</f>
        <v>394</v>
      </c>
      <c r="H110" s="48" t="s">
        <v>16</v>
      </c>
      <c r="I110" s="49">
        <f t="array" aca="1" ref="I110" ca="1">_xll.GetPrice("FP-LBR-0028","Actual","Low",_LATESTvarPubDate)</f>
        <v>1150</v>
      </c>
      <c r="J110" s="49">
        <f t="array" aca="1" ref="J110" ca="1">_xll.GetPrice("FP-LBR-0028","Actual","High",_LATESTvarPubDate)</f>
        <v>1250</v>
      </c>
      <c r="K110" s="50">
        <f t="array" aca="1" ref="K110" ca="1">_xll.GetPrice("FP-LBR-0090","Actual","Low",_LATESTvarPubDate)</f>
        <v>488</v>
      </c>
      <c r="L110" s="50">
        <f t="array" aca="1" ref="L110" ca="1">_xll.GetPrice("FP-LBR-0090","Actual","High",_LATESTvarPubDate)</f>
        <v>530</v>
      </c>
      <c r="O110" s="48" t="s">
        <v>17</v>
      </c>
      <c r="P110" s="49">
        <f t="array" aca="1" ref="P110" ca="1">_xll.GetPrice("FP-LBR-0044","Actual","Low",_LATESTvarPubDate)</f>
        <v>3000</v>
      </c>
      <c r="Q110" s="49">
        <f t="array" aca="1" ref="Q110" ca="1">_xll.GetPrice("FP-LBR-0044","Actual","High",_LATESTvarPubDate)</f>
        <v>3300</v>
      </c>
      <c r="R110" s="50">
        <f t="array" aca="1" ref="R110" ca="1">_xll.GetPrice("FP-LBR-0106","Actual","Low",_LATESTvarPubDate)</f>
        <v>1272</v>
      </c>
      <c r="S110" s="50">
        <f t="array" aca="1" ref="S110" ca="1">_xll.GetPrice("FP-LBR-0106","Actual","High",_LATESTvarPubDate)</f>
        <v>1399</v>
      </c>
    </row>
    <row r="111" spans="1:58" x14ac:dyDescent="0.2">
      <c r="A111" s="48" t="s">
        <v>18</v>
      </c>
      <c r="B111" s="49">
        <f t="array" aca="1" ref="B111" ca="1">_xll.GetPrice("FP-LBR-0024","Actual","Low",_LATESTvarPubDate)</f>
        <v>995</v>
      </c>
      <c r="C111" s="49">
        <f t="array" aca="1" ref="C111" ca="1">_xll.GetPrice("FP-LBR-0024","Actual","High",_LATESTvarPubDate)</f>
        <v>1005</v>
      </c>
      <c r="D111" s="50">
        <f t="array" aca="1" ref="D111" ca="1">_xll.GetPrice("FP-LBR-0081","Actual","Low",_LATESTvarPubDate)</f>
        <v>422</v>
      </c>
      <c r="E111" s="50">
        <f t="array" aca="1" ref="E111" ca="1">_xll.GetPrice("FP-LBR-0081","Actual","High",_LATESTvarPubDate)</f>
        <v>426</v>
      </c>
      <c r="H111" s="48" t="s">
        <v>18</v>
      </c>
      <c r="I111" s="49">
        <f t="array" aca="1" ref="I111" ca="1">_xll.GetPrice("FP-LBR-0029","Actual","Low",_LATESTvarPubDate)</f>
        <v>1350</v>
      </c>
      <c r="J111" s="49">
        <f t="array" aca="1" ref="J111" ca="1">_xll.GetPrice("FP-LBR-0029","Actual","High",_LATESTvarPubDate)</f>
        <v>1425</v>
      </c>
      <c r="K111" s="50">
        <f t="array" aca="1" ref="K111" ca="1">_xll.GetPrice("FP-LBR-0091","Actual","Low",_LATESTvarPubDate)</f>
        <v>572</v>
      </c>
      <c r="L111" s="50">
        <f t="array" aca="1" ref="L111" ca="1">_xll.GetPrice("FP-LBR-0091","Actual","High",_LATESTvarPubDate)</f>
        <v>604</v>
      </c>
      <c r="Q111" s="48" t="s">
        <v>19</v>
      </c>
    </row>
    <row r="112" spans="1:58" x14ac:dyDescent="0.2">
      <c r="A112" s="48" t="s">
        <v>20</v>
      </c>
      <c r="B112" s="49">
        <f t="array" aca="1" ref="B112" ca="1">_xll.GetPrice("FP-LBR-0015","Actual","Low",_LATESTvarPubDate)</f>
        <v>935</v>
      </c>
      <c r="C112" s="49">
        <f t="array" aca="1" ref="C112" ca="1">_xll.GetPrice("FP-LBR-0015","Actual","High",_LATESTvarPubDate)</f>
        <v>945</v>
      </c>
      <c r="D112" s="50">
        <f t="array" aca="1" ref="D112" ca="1">_xll.GetPrice("FP-LBR-0082","Actual","Low",_LATESTvarPubDate)</f>
        <v>396</v>
      </c>
      <c r="E112" s="50">
        <f t="array" aca="1" ref="E112" ca="1">_xll.GetPrice("FP-LBR-0082","Actual","High",_LATESTvarPubDate)</f>
        <v>401</v>
      </c>
      <c r="H112" s="48" t="s">
        <v>21</v>
      </c>
      <c r="I112" s="49">
        <f t="array" aca="1" ref="I112" ca="1">_xll.GetPrice("FP-LBR-0030","Actual","Low",_LATESTvarPubDate)</f>
        <v>1225</v>
      </c>
      <c r="J112" s="49">
        <f t="array" aca="1" ref="J112" ca="1">_xll.GetPrice("FP-LBR-0030","Actual","High",_LATESTvarPubDate)</f>
        <v>1275</v>
      </c>
      <c r="K112" s="50">
        <f t="array" aca="1" ref="K112" ca="1">_xll.GetPrice("FP-LBR-0092","Actual","Low",_LATESTvarPubDate)</f>
        <v>519</v>
      </c>
      <c r="L112" s="50">
        <f t="array" aca="1" ref="L112" ca="1">_xll.GetPrice("FP-LBR-0092","Actual","High",_LATESTvarPubDate)</f>
        <v>541</v>
      </c>
      <c r="O112" s="48" t="s">
        <v>13</v>
      </c>
      <c r="P112" s="49">
        <f t="array" aca="1" ref="P112" ca="1">_xll.GetPrice("FP-LBR-0045","Actual","Low",_LATESTvarPubDate)</f>
        <v>2000</v>
      </c>
      <c r="Q112" s="49">
        <f t="array" aca="1" ref="Q112" ca="1">_xll.GetPrice("FP-LBR-0045","Actual","High",_LATESTvarPubDate)</f>
        <v>2180</v>
      </c>
      <c r="R112" s="50">
        <f t="array" aca="1" ref="R112" ca="1">_xll.GetPrice("FP-LBR-0107","Actual","Low",_LATESTvarPubDate)</f>
        <v>848</v>
      </c>
      <c r="S112" s="50">
        <f t="array" aca="1" ref="S112" ca="1">_xll.GetPrice("FP-LBR-0107","Actual","High",_LATESTvarPubDate)</f>
        <v>924</v>
      </c>
    </row>
    <row r="113" spans="1:19" x14ac:dyDescent="0.2">
      <c r="A113" s="48" t="s">
        <v>22</v>
      </c>
      <c r="B113" s="49">
        <f t="array" aca="1" ref="B113" ca="1">_xll.GetPrice("FP-LBR-0016","Actual","Low",_LATESTvarPubDate)</f>
        <v>705</v>
      </c>
      <c r="C113" s="49">
        <f t="array" aca="1" ref="C113" ca="1">_xll.GetPrice("FP-LBR-0016","Actual","High",_LATESTvarPubDate)</f>
        <v>715</v>
      </c>
      <c r="D113" s="50">
        <f t="array" aca="1" ref="D113" ca="1">_xll.GetPrice("FP-LBR-0083","Actual","Low",_LATESTvarPubDate)</f>
        <v>299</v>
      </c>
      <c r="E113" s="50">
        <f t="array" aca="1" ref="E113" ca="1">_xll.GetPrice("FP-LBR-0083","Actual","High",_LATESTvarPubDate)</f>
        <v>303</v>
      </c>
      <c r="H113" s="48" t="s">
        <v>23</v>
      </c>
      <c r="I113" s="49">
        <f t="array" aca="1" ref="I113" ca="1">_xll.GetPrice("FP-LBR-0031","Actual","Low",_LATESTvarPubDate)</f>
        <v>1225</v>
      </c>
      <c r="J113" s="49">
        <f t="array" aca="1" ref="J113" ca="1">_xll.GetPrice("FP-LBR-0031","Actual","High",_LATESTvarPubDate)</f>
        <v>1275</v>
      </c>
      <c r="K113" s="50">
        <f t="array" aca="1" ref="K113" ca="1">_xll.GetPrice("FP-LBR-0093","Actual","Low",_LATESTvarPubDate)</f>
        <v>519</v>
      </c>
      <c r="L113" s="50">
        <f t="array" aca="1" ref="L113" ca="1">_xll.GetPrice("FP-LBR-0093","Actual","High",_LATESTvarPubDate)</f>
        <v>541</v>
      </c>
      <c r="O113" s="48" t="s">
        <v>15</v>
      </c>
      <c r="P113" s="49">
        <f t="array" aca="1" ref="P113" ca="1">_xll.GetPrice("FP-LBR-0046","Actual","Low",_LATESTvarPubDate)</f>
        <v>2150</v>
      </c>
      <c r="Q113" s="49">
        <f t="array" aca="1" ref="Q113" ca="1">_xll.GetPrice("FP-LBR-0046","Actual","High",_LATESTvarPubDate)</f>
        <v>2410</v>
      </c>
      <c r="R113" s="50">
        <f t="array" aca="1" ref="R113" ca="1">_xll.GetPrice("FP-LBR-0108","Actual","Low",_LATESTvarPubDate)</f>
        <v>912</v>
      </c>
      <c r="S113" s="50">
        <f t="array" aca="1" ref="S113" ca="1">_xll.GetPrice("FP-LBR-0108","Actual","High",_LATESTvarPubDate)</f>
        <v>1022</v>
      </c>
    </row>
    <row r="114" spans="1:19" x14ac:dyDescent="0.2">
      <c r="A114" s="48" t="s">
        <v>24</v>
      </c>
      <c r="B114" s="49">
        <f t="array" aca="1" ref="B114" ca="1">_xll.GetPrice("FP-LBR-0017","Actual","Low",_LATESTvarPubDate)</f>
        <v>765</v>
      </c>
      <c r="C114" s="49">
        <f t="array" aca="1" ref="C114" ca="1">_xll.GetPrice("FP-LBR-0017","Actual","High",_LATESTvarPubDate)</f>
        <v>775</v>
      </c>
      <c r="D114" s="50">
        <f t="array" aca="1" ref="D114" ca="1">_xll.GetPrice("FP-LBR-0084","Actual","Low",_LATESTvarPubDate)</f>
        <v>324</v>
      </c>
      <c r="E114" s="50">
        <f t="array" aca="1" ref="E114" ca="1">_xll.GetPrice("FP-LBR-0084","Actual","High",_LATESTvarPubDate)</f>
        <v>329</v>
      </c>
      <c r="H114" s="48" t="s">
        <v>25</v>
      </c>
      <c r="I114" s="49">
        <f t="array" aca="1" ref="I114" ca="1">_xll.GetPrice("FP-LBR-0032","Actual","Low",_LATESTvarPubDate)</f>
        <v>1230</v>
      </c>
      <c r="J114" s="49">
        <f t="array" aca="1" ref="J114" ca="1">_xll.GetPrice("FP-LBR-0032","Actual","High",_LATESTvarPubDate)</f>
        <v>1300</v>
      </c>
      <c r="K114" s="50">
        <f t="array" aca="1" ref="K114" ca="1">_xll.GetPrice("FP-LBR-0094","Actual","Low",_LATESTvarPubDate)</f>
        <v>522</v>
      </c>
      <c r="L114" s="50">
        <f t="array" aca="1" ref="L114" ca="1">_xll.GetPrice("FP-LBR-0094","Actual","High",_LATESTvarPubDate)</f>
        <v>551</v>
      </c>
      <c r="O114" s="48" t="s">
        <v>17</v>
      </c>
      <c r="P114" s="49">
        <f t="array" aca="1" ref="P114" ca="1">_xll.GetPrice("FP-LBR-0047","Actual","Low",_LATESTvarPubDate)</f>
        <v>2150</v>
      </c>
      <c r="Q114" s="49">
        <f t="array" aca="1" ref="Q114" ca="1">_xll.GetPrice("FP-LBR-0047","Actual","High",_LATESTvarPubDate)</f>
        <v>2410</v>
      </c>
      <c r="R114" s="50">
        <f t="array" aca="1" ref="R114" ca="1">_xll.GetPrice("FP-LBR-0109","Actual","Low",_LATESTvarPubDate)</f>
        <v>912</v>
      </c>
      <c r="S114" s="50">
        <f t="array" aca="1" ref="S114" ca="1">_xll.GetPrice("FP-LBR-0109","Actual","High",_LATESTvarPubDate)</f>
        <v>1022</v>
      </c>
    </row>
    <row r="115" spans="1:19" x14ac:dyDescent="0.2">
      <c r="A115" s="48" t="s">
        <v>26</v>
      </c>
      <c r="B115" s="49">
        <f t="array" aca="1" ref="B115" ca="1">_xll.GetPrice("FP-LBR-0018","Actual","Low",_LATESTvarPubDate)</f>
        <v>675</v>
      </c>
      <c r="C115" s="49">
        <f t="array" aca="1" ref="C115" ca="1">_xll.GetPrice("FP-LBR-0018","Actual","High",_LATESTvarPubDate)</f>
        <v>685</v>
      </c>
      <c r="D115" s="50">
        <f t="array" aca="1" ref="D115" ca="1">_xll.GetPrice("FP-LBR-0085","Actual","Low",_LATESTvarPubDate)</f>
        <v>286</v>
      </c>
      <c r="E115" s="50">
        <f t="array" aca="1" ref="E115" ca="1">_xll.GetPrice("FP-LBR-0085","Actual","High",_LATESTvarPubDate)</f>
        <v>290</v>
      </c>
      <c r="H115" s="48" t="s">
        <v>27</v>
      </c>
      <c r="I115" s="49">
        <f t="array" aca="1" ref="I115" ca="1">_xll.GetPrice("FP-LBR-0033","Actual","Low",_LATESTvarPubDate)</f>
        <v>1230</v>
      </c>
      <c r="J115" s="49">
        <f t="array" aca="1" ref="J115" ca="1">_xll.GetPrice("FP-LBR-0033","Actual","High",_LATESTvarPubDate)</f>
        <v>1300</v>
      </c>
      <c r="K115" s="50">
        <f t="array" aca="1" ref="K115" ca="1">_xll.GetPrice("FP-LBR-0095","Actual","Low",_LATESTvarPubDate)</f>
        <v>522</v>
      </c>
      <c r="L115" s="50">
        <f t="array" aca="1" ref="L115" ca="1">_xll.GetPrice("FP-LBR-0095","Actual","High",_LATESTvarPubDate)</f>
        <v>551</v>
      </c>
    </row>
    <row r="116" spans="1:19" x14ac:dyDescent="0.2">
      <c r="A116" s="48" t="s">
        <v>28</v>
      </c>
      <c r="B116" s="49">
        <f t="array" aca="1" ref="B116" ca="1">_xll.GetPrice("FP-LBR-0019","Actual","Low",_LATESTvarPubDate)</f>
        <v>825</v>
      </c>
      <c r="C116" s="49">
        <f t="array" aca="1" ref="C116" ca="1">_xll.GetPrice("FP-LBR-0019","Actual","High",_LATESTvarPubDate)</f>
        <v>835</v>
      </c>
      <c r="D116" s="50">
        <f t="array" aca="1" ref="D116" ca="1">_xll.GetPrice("FP-LBR-0086","Actual","Low",_LATESTvarPubDate)</f>
        <v>350</v>
      </c>
      <c r="E116" s="50">
        <f t="array" aca="1" ref="E116" ca="1">_xll.GetPrice("FP-LBR-0086","Actual","High",_LATESTvarPubDate)</f>
        <v>354</v>
      </c>
      <c r="H116" s="48" t="s">
        <v>29</v>
      </c>
      <c r="I116" s="49">
        <f t="array" aca="1" ref="I116" ca="1">_xll.GetPrice("FP-LBR-0034","Actual","Low",_LATESTvarPubDate)</f>
        <v>1175</v>
      </c>
      <c r="J116" s="49">
        <f t="array" aca="1" ref="J116" ca="1">_xll.GetPrice("FP-LBR-0034","Actual","High",_LATESTvarPubDate)</f>
        <v>1400</v>
      </c>
      <c r="K116" s="50">
        <f t="array" aca="1" ref="K116" ca="1">_xll.GetPrice("FP-LBR-0096","Actual","Low",_LATESTvarPubDate)</f>
        <v>498</v>
      </c>
      <c r="L116" s="50">
        <f t="array" aca="1" ref="L116" ca="1">_xll.GetPrice("FP-LBR-0096","Actual","High",_LATESTvarPubDate)</f>
        <v>594</v>
      </c>
    </row>
    <row r="117" spans="1:19" x14ac:dyDescent="0.2">
      <c r="H117" s="48" t="s">
        <v>30</v>
      </c>
      <c r="I117" s="49">
        <f t="array" aca="1" ref="I117" ca="1">_xll.GetPrice("FP-LBR-0035","Actual","Low",_LATESTvarPubDate)</f>
        <v>1250</v>
      </c>
      <c r="J117" s="49">
        <f t="array" aca="1" ref="J117" ca="1">_xll.GetPrice("FP-LBR-0035","Actual","High",_LATESTvarPubDate)</f>
        <v>1325</v>
      </c>
      <c r="K117" s="50" cm="1">
        <f t="array" aca="1" ref="K117" ca="1">_xll.GetPrice("FP-LBR-0097","Actual","Low",_LATESTvarPubDate)</f>
        <v>530</v>
      </c>
      <c r="L117" s="50">
        <f t="array" aca="1" ref="L117" ca="1">_xll.GetPrice("FP-LBR-0097","Actual","High",_LATESTvarPubDate)</f>
        <v>562</v>
      </c>
    </row>
    <row r="118" spans="1:19" x14ac:dyDescent="0.2">
      <c r="A118" s="46" t="s">
        <v>5</v>
      </c>
      <c r="H118" s="48" t="s">
        <v>31</v>
      </c>
      <c r="I118" s="49">
        <f t="array" aca="1" ref="I118" ca="1">_xll.GetPrice("FP-LBR-0036","Actual","Low",_LATESTvarPubDate)</f>
        <v>1350</v>
      </c>
      <c r="J118" s="49">
        <f t="array" aca="1" ref="J118" ca="1">_xll.GetPrice("FP-LBR-0036","Actual","High",_LATESTvarPubDate)</f>
        <v>1425</v>
      </c>
      <c r="K118" s="50">
        <f t="array" aca="1" ref="K118" ca="1">_xll.GetPrice("FP-LBR-0098","Actual","Low",_LATESTvarPubDate)</f>
        <v>572</v>
      </c>
      <c r="L118" s="50">
        <f t="array" aca="1" ref="L118" ca="1">_xll.GetPrice("FP-LBR-0098","Actual","High",_LATESTvarPubDate)</f>
        <v>604</v>
      </c>
      <c r="O118" s="47" t="s">
        <v>32</v>
      </c>
    </row>
    <row r="119" spans="1:19" x14ac:dyDescent="0.2">
      <c r="A119" s="47" t="s">
        <v>33</v>
      </c>
      <c r="H119" s="48" t="s">
        <v>34</v>
      </c>
      <c r="I119" s="49">
        <f t="array" aca="1" ref="I119" ca="1">_xll.GetPrice("FP-LBR-0037","Actual","Low",_LATESTvarPubDate)</f>
        <v>1400</v>
      </c>
      <c r="J119" s="49">
        <f t="array" aca="1" ref="J119" ca="1">_xll.GetPrice("FP-LBR-0037","Actual","High",_LATESTvarPubDate)</f>
        <v>1475</v>
      </c>
      <c r="K119" s="50">
        <f t="array" aca="1" ref="K119" ca="1">_xll.GetPrice("FP-LBR-0099","Actual","Low",_LATESTvarPubDate)</f>
        <v>594</v>
      </c>
      <c r="L119" s="50" cm="1">
        <f t="array" aca="1" ref="L119" ca="1">_xll.GetPrice("FP-LBR-0099","Actual","High",_LATESTvarPubDate)</f>
        <v>625</v>
      </c>
      <c r="P119" s="51"/>
      <c r="Q119" s="52" t="s">
        <v>35</v>
      </c>
      <c r="R119" s="48"/>
      <c r="S119" s="51"/>
    </row>
    <row r="120" spans="1:19" x14ac:dyDescent="0.2">
      <c r="A120" s="53" t="s">
        <v>36</v>
      </c>
      <c r="B120" s="49">
        <f t="array" aca="1" ref="B120" ca="1">_xll.GetPrice("FP-LBR-0038","Actual","Low",_LATESTvarPubDate)</f>
        <v>1150</v>
      </c>
      <c r="C120" s="49">
        <f t="array" aca="1" ref="C120" ca="1">_xll.GetPrice("FP-LBR-0038","Actual","High",_LATESTvarPubDate)</f>
        <v>1325</v>
      </c>
      <c r="D120" s="50">
        <f t="array" aca="1" ref="D120" ca="1">_xll.GetPrice("FP-LBR-0100","Actual","Low",_LATESTvarPubDate)</f>
        <v>488</v>
      </c>
      <c r="E120" s="50">
        <f t="array" aca="1" ref="E120" ca="1">_xll.GetPrice("FP-LBR-0100","Actual","High",_LATESTvarPubDate)</f>
        <v>562</v>
      </c>
      <c r="H120" s="54"/>
      <c r="O120" s="48" t="s">
        <v>37</v>
      </c>
      <c r="P120" s="49">
        <f t="array" aca="1" ref="P120" ca="1">_xll.GetPrice("FP-LBR-0048","Actual","Low",_LATESTvarPubDate)</f>
        <v>860</v>
      </c>
      <c r="Q120" s="49">
        <f t="array" aca="1" ref="Q120" ca="1">_xll.GetPrice("FP-LBR-0048","Actual","High",_LATESTvarPubDate)</f>
        <v>880</v>
      </c>
      <c r="R120" s="50">
        <f t="array" aca="1" ref="R120" ca="1">_xll.GetPrice("FP-LBR-0110","Actual","Low",_LATESTvarPubDate)</f>
        <v>365</v>
      </c>
      <c r="S120" s="50">
        <f t="array" aca="1" ref="S120" ca="1">_xll.GetPrice("FP-LBR-0110","Actual","High",_LATESTvarPubDate)</f>
        <v>373</v>
      </c>
    </row>
    <row r="121" spans="1:19" x14ac:dyDescent="0.2">
      <c r="A121" s="53" t="s">
        <v>38</v>
      </c>
      <c r="B121" s="49">
        <f t="array" aca="1" ref="B121" ca="1">_xll.GetPrice("FP-LBR-0039","Actual","Low",_LATESTvarPubDate)</f>
        <v>1425</v>
      </c>
      <c r="C121" s="49">
        <f t="array" aca="1" ref="C121" ca="1">_xll.GetPrice("FP-LBR-0039","Actual","High",_LATESTvarPubDate)</f>
        <v>1475</v>
      </c>
      <c r="D121" s="50">
        <f t="array" aca="1" ref="D121" ca="1">_xll.GetPrice("FP-LBR-0101","Actual","Low",_LATESTvarPubDate)</f>
        <v>604</v>
      </c>
      <c r="E121" s="50">
        <f t="array" aca="1" ref="E121" ca="1">_xll.GetPrice("FP-LBR-0101","Actual","High",_LATESTvarPubDate)</f>
        <v>625</v>
      </c>
      <c r="O121" s="48" t="s">
        <v>39</v>
      </c>
      <c r="P121" s="49">
        <f t="array" aca="1" ref="P121" ca="1">_xll.GetPrice("FP-LBR-0049","Actual","Low",_LATESTvarPubDate)</f>
        <v>910</v>
      </c>
      <c r="Q121" s="49">
        <f t="array" aca="1" ref="Q121" ca="1">_xll.GetPrice("FP-LBR-0049","Actual","High",_LATESTvarPubDate)</f>
        <v>920</v>
      </c>
      <c r="R121" s="50">
        <f t="array" aca="1" ref="R121" ca="1">_xll.GetPrice("FP-LBR-0111","Actual","Low",_LATESTvarPubDate)</f>
        <v>386</v>
      </c>
      <c r="S121" s="50">
        <f t="array" aca="1" ref="S121" ca="1">_xll.GetPrice("FP-LBR-0111","Actual","High",_LATESTvarPubDate)</f>
        <v>390</v>
      </c>
    </row>
    <row r="122" spans="1:19" x14ac:dyDescent="0.2">
      <c r="A122" s="53" t="s">
        <v>40</v>
      </c>
      <c r="B122" s="49">
        <f t="array" aca="1" ref="B122" ca="1">_xll.GetPrice("FP-LBR-0040","Actual","Low",_LATESTvarPubDate)</f>
        <v>1425</v>
      </c>
      <c r="C122" s="49">
        <f t="array" aca="1" ref="C122" ca="1">_xll.GetPrice("FP-LBR-0040","Actual","High",_LATESTvarPubDate)</f>
        <v>1475</v>
      </c>
      <c r="D122" s="50">
        <f t="array" aca="1" ref="D122" ca="1">_xll.GetPrice("FP-LBR-0102","Actual","Low",_LATESTvarPubDate)</f>
        <v>604</v>
      </c>
      <c r="E122" s="50">
        <f t="array" aca="1" ref="E122" ca="1">_xll.GetPrice("FP-LBR-0102","Actual","High",_LATESTvarPubDate)</f>
        <v>625</v>
      </c>
      <c r="H122" s="46" t="s">
        <v>5</v>
      </c>
      <c r="O122" s="48" t="s">
        <v>41</v>
      </c>
      <c r="P122" s="49">
        <f t="array" aca="1" ref="P122" ca="1">_xll.GetPrice("FP-LBR-0050","Actual","Low",_LATESTvarPubDate)</f>
        <v>1060</v>
      </c>
      <c r="Q122" s="49">
        <f t="array" aca="1" ref="Q122" ca="1">_xll.GetPrice("FP-LBR-0050","Actual","High",_LATESTvarPubDate)</f>
        <v>1110</v>
      </c>
      <c r="R122" s="50">
        <f t="array" aca="1" ref="R122" ca="1">_xll.GetPrice("FP-LBR-0112","Actual","Low",_LATESTvarPubDate)</f>
        <v>449</v>
      </c>
      <c r="S122" s="50">
        <f t="array" aca="1" ref="S122" ca="1">_xll.GetPrice("FP-LBR-0112","Actual","High",_LATESTvarPubDate)</f>
        <v>471</v>
      </c>
    </row>
    <row r="123" spans="1:19" x14ac:dyDescent="0.2">
      <c r="H123" s="47" t="s">
        <v>42</v>
      </c>
      <c r="O123" s="48" t="s">
        <v>43</v>
      </c>
      <c r="P123" s="49">
        <f t="array" aca="1" ref="P123" ca="1">_xll.GetPrice("FP-LBR-0051","Actual","Low",_LATESTvarPubDate)</f>
        <v>1310</v>
      </c>
      <c r="Q123" s="49">
        <f t="array" aca="1" ref="Q123" ca="1">_xll.GetPrice("FP-LBR-0051","Actual","High",_LATESTvarPubDate)</f>
        <v>1400</v>
      </c>
      <c r="R123" s="50">
        <f t="array" aca="1" ref="R123" ca="1">_xll.GetPrice("FP-LBR-0113","Actual","Low",_LATESTvarPubDate)</f>
        <v>555</v>
      </c>
      <c r="S123" s="50">
        <f t="array" aca="1" ref="S123" ca="1">_xll.GetPrice("FP-LBR-0113","Actual","High",_LATESTvarPubDate)</f>
        <v>594</v>
      </c>
    </row>
    <row r="124" spans="1:19" x14ac:dyDescent="0.2">
      <c r="H124" s="48" t="s">
        <v>44</v>
      </c>
      <c r="I124" s="49">
        <f t="array" aca="1" ref="I124" ca="1">_xll.GetPrice("FP-LBR-0041","Actual","Low",_LATESTvarPubDate)</f>
        <v>900</v>
      </c>
      <c r="J124" s="49">
        <f t="array" aca="1" ref="J124" ca="1">_xll.GetPrice("FP-LBR-0041","Actual","High",_LATESTvarPubDate)</f>
        <v>1000</v>
      </c>
      <c r="K124" s="50">
        <f t="array" aca="1" ref="K124" ca="1">_xll.GetPrice("FP-LBR-0103","Actual","Low",_LATESTvarPubDate)</f>
        <v>382</v>
      </c>
      <c r="L124" s="50">
        <f t="array" aca="1" ref="L124" ca="1">_xll.GetPrice("FP-LBR-0103","Actual","High",_LATESTvarPubDate)</f>
        <v>424</v>
      </c>
      <c r="Q124" s="48" t="s">
        <v>45</v>
      </c>
      <c r="R124" s="48"/>
    </row>
    <row r="125" spans="1:19" x14ac:dyDescent="0.2">
      <c r="A125" s="46" t="s">
        <v>46</v>
      </c>
      <c r="O125" s="48" t="s">
        <v>43</v>
      </c>
      <c r="P125" s="49">
        <f t="array" aca="1" ref="P125" ca="1">_xll.GetPrice("FP-LBR-0052","Actual","Low",_LATESTvarPubDate)</f>
        <v>1585</v>
      </c>
      <c r="Q125" s="49">
        <f t="array" aca="1" ref="Q125" ca="1">_xll.GetPrice("FP-LBR-0052","Actual","High",_LATESTvarPubDate)</f>
        <v>1685</v>
      </c>
      <c r="R125" s="50">
        <f t="array" aca="1" ref="R125" ca="1">_xll.GetPrice("FP-LBR-0114","Actual","Low",_LATESTvarPubDate)</f>
        <v>672</v>
      </c>
      <c r="S125" s="50">
        <f t="array" aca="1" ref="S125" ca="1">_xll.GetPrice("FP-LBR-0114","Actual","High",_LATESTvarPubDate)</f>
        <v>714</v>
      </c>
    </row>
    <row r="126" spans="1:19" x14ac:dyDescent="0.2">
      <c r="A126" s="47" t="s">
        <v>47</v>
      </c>
      <c r="D126" s="47" t="s">
        <v>48</v>
      </c>
      <c r="E126" s="55"/>
      <c r="F126" s="55"/>
    </row>
    <row r="127" spans="1:19" x14ac:dyDescent="0.2">
      <c r="B127" s="48" t="s">
        <v>49</v>
      </c>
      <c r="E127" s="48" t="s">
        <v>49</v>
      </c>
      <c r="H127" s="47" t="s">
        <v>50</v>
      </c>
    </row>
    <row r="128" spans="1:19" x14ac:dyDescent="0.2">
      <c r="A128" s="48" t="s">
        <v>51</v>
      </c>
      <c r="B128" s="49">
        <f t="array" aca="1" ref="B128" ca="1">_xll.GetPrice("FP-PNL-0219","Actual","Low",_LATESTvarPubDate)</f>
        <v>445</v>
      </c>
      <c r="C128" s="50">
        <f t="array" aca="1" ref="C128" ca="1">_xll.GetPrice("FP-PNL-0019","Actual","Low",_LATESTvarPubDate)</f>
        <v>503</v>
      </c>
      <c r="D128" s="48" t="s">
        <v>51</v>
      </c>
      <c r="E128" s="49">
        <f t="array" aca="1" ref="E128" ca="1">_xll.GetPrice("FP-PNL-0153","Actual","Low",_LATESTvarPubDate)</f>
        <v>399</v>
      </c>
      <c r="F128" s="50">
        <f t="array" aca="1" ref="F128" ca="1">_xll.GetPrice("FP-PNL-0023","Actual","Low",_LATESTvarPubDate)</f>
        <v>451</v>
      </c>
      <c r="I128" s="47" t="s">
        <v>52</v>
      </c>
      <c r="J128" s="56"/>
      <c r="L128" s="47" t="s">
        <v>53</v>
      </c>
      <c r="M128" s="57"/>
    </row>
    <row r="129" spans="1:19" x14ac:dyDescent="0.2">
      <c r="A129" s="48" t="s">
        <v>54</v>
      </c>
      <c r="B129" s="49">
        <f t="array" aca="1" ref="B129" ca="1">_xll.GetPrice("FP-PNL-0221","Actual","Low",_LATESTvarPubDate)</f>
        <v>532</v>
      </c>
      <c r="C129" s="50">
        <f t="array" aca="1" ref="C129" ca="1">_xll.GetPrice("FP-PNL-0020","Actual","Low",_LATESTvarPubDate)</f>
        <v>451</v>
      </c>
      <c r="D129" s="48" t="s">
        <v>55</v>
      </c>
      <c r="E129" s="49">
        <f t="array" aca="1" ref="E129" ca="1">_xll.GetPrice("FP-PNL-0155","Actual","Low",_LATESTvarPubDate)</f>
        <v>501</v>
      </c>
      <c r="F129" s="50">
        <f t="array" aca="1" ref="F129" ca="1">_xll.GetPrice("FP-PNL-0024","Actual","Low",_LATESTvarPubDate)</f>
        <v>451</v>
      </c>
      <c r="H129" s="48" t="s">
        <v>56</v>
      </c>
      <c r="I129" s="49">
        <f t="array" aca="1" ref="I129" ca="1">_xll.GetPrice("FP-PNL-0028","Actual","Low",_LATESTvarPubDate)</f>
        <v>420</v>
      </c>
      <c r="J129" s="50">
        <f t="array" aca="1" ref="J129" ca="1">_xll.GetPrice("FP-PNL-0009","Actual","Low",_LATESTvarPubDate)</f>
        <v>407</v>
      </c>
      <c r="K129" s="48" t="s">
        <v>56</v>
      </c>
      <c r="L129" s="49">
        <f t="array" aca="1" ref="L129" ca="1">_xll.GetPrice("FP-PNL-0034","Actual","Low",_LATESTvarPubDate)</f>
        <v>395</v>
      </c>
      <c r="M129" s="50">
        <f t="array" aca="1" ref="M129" ca="1">_xll.GetPrice("FP-PNL-0011","Actual","Low",_LATESTvarPubDate)</f>
        <v>382</v>
      </c>
    </row>
    <row r="130" spans="1:19" x14ac:dyDescent="0.2">
      <c r="A130" s="48" t="s">
        <v>57</v>
      </c>
      <c r="B130" s="49">
        <f t="array" aca="1" ref="B130" ca="1">_xll.GetPrice("FP-PNL-0225","Actual","Low",_LATESTvarPubDate)</f>
        <v>840</v>
      </c>
      <c r="C130" s="50">
        <f t="array" aca="1" ref="C130" ca="1">_xll.GetPrice("FP-PNL-0021","Actual","Low",_LATESTvarPubDate)</f>
        <v>475</v>
      </c>
      <c r="D130" s="48" t="s">
        <v>58</v>
      </c>
      <c r="E130" s="49">
        <f t="array" aca="1" ref="E130" ca="1">_xll.GetPrice("FP-PNL-0157","Actual","Low",_LATESTvarPubDate)</f>
        <v>691</v>
      </c>
      <c r="F130" s="50">
        <f t="array" aca="1" ref="F130" ca="1">_xll.GetPrice("FP-PNL-0025","Actual","Low",_LATESTvarPubDate)</f>
        <v>406</v>
      </c>
      <c r="I130" s="47" t="s">
        <v>59</v>
      </c>
      <c r="J130" s="57"/>
      <c r="L130" s="47" t="s">
        <v>60</v>
      </c>
    </row>
    <row r="131" spans="1:19" x14ac:dyDescent="0.2">
      <c r="B131" s="48" t="s">
        <v>61</v>
      </c>
      <c r="E131" s="48" t="s">
        <v>61</v>
      </c>
      <c r="H131" s="48" t="s">
        <v>56</v>
      </c>
      <c r="I131" s="49">
        <f t="array" aca="1" ref="I131" ca="1">_xll.GetPrice("FP-PNL-0110","Actual","Low",_LATESTvarPubDate)</f>
        <v>380</v>
      </c>
      <c r="J131" s="50">
        <f t="array" aca="1" ref="J131" ca="1">_xll.GetPrice("FP-PNL-0010","Actual","Low",_LATESTvarPubDate)</f>
        <v>368</v>
      </c>
      <c r="K131" s="48" t="s">
        <v>56</v>
      </c>
      <c r="L131" s="49">
        <f t="array" aca="1" ref="L131" ca="1">_xll.GetPrice("FP-PNL-0116","Actual","Low",_LATESTvarPubDate)</f>
        <v>375</v>
      </c>
      <c r="M131" s="50">
        <f t="array" aca="1" ref="M131" ca="1">_xll.GetPrice("FP-PNL-0012","Actual","Low",_LATESTvarPubDate)</f>
        <v>363</v>
      </c>
    </row>
    <row r="132" spans="1:19" x14ac:dyDescent="0.2">
      <c r="A132" s="48" t="s">
        <v>58</v>
      </c>
      <c r="B132" s="49">
        <f t="array" aca="1" ref="B132" ca="1">_xll.GetPrice("FP-PNL-0264","Actual","Low",_LATESTvarPubDate)</f>
        <v>900</v>
      </c>
      <c r="C132" s="50">
        <f t="array" aca="1" ref="C132" ca="1">_xll.GetPrice("FP-PNL-0022","Actual","Low",_LATESTvarPubDate)</f>
        <v>529</v>
      </c>
      <c r="D132" s="48" t="s">
        <v>58</v>
      </c>
      <c r="E132" s="49">
        <f t="array" aca="1" ref="E132" ca="1">_xll.GetPrice("FP-PNL-0204","Actual","Low",_LATESTvarPubDate)</f>
        <v>894</v>
      </c>
      <c r="F132" s="50">
        <f t="array" aca="1" ref="F132" ca="1">_xll.GetPrice("FP-PNL-0026","Actual","Low",_LATESTvarPubDate)</f>
        <v>526</v>
      </c>
    </row>
    <row r="133" spans="1:19" x14ac:dyDescent="0.2">
      <c r="A133" s="58" t="s">
        <v>62</v>
      </c>
      <c r="B133" s="48" t="s">
        <v>63</v>
      </c>
      <c r="C133" s="49">
        <f t="array" aca="1" ref="C133" ca="1">_xll.GetPrice("FP-PNL-0007","Actual","Low",_LATESTvarPubDate)</f>
        <v>60</v>
      </c>
      <c r="D133" s="48" t="s">
        <v>64</v>
      </c>
      <c r="E133" s="49">
        <f t="array" aca="1" ref="E133" ca="1">_xll.GetPrice("FP-PNL-0008","Actual","Low",_LATESTvarPubDate)</f>
        <v>20</v>
      </c>
    </row>
    <row r="138" spans="1:19" ht="15.75" x14ac:dyDescent="0.25">
      <c r="A138" s="59" t="s">
        <v>65</v>
      </c>
    </row>
    <row r="140" spans="1:19" x14ac:dyDescent="0.2">
      <c r="A140" s="47" t="s">
        <v>66</v>
      </c>
      <c r="H140" s="46" t="s">
        <v>67</v>
      </c>
      <c r="O140" s="46" t="s">
        <v>68</v>
      </c>
    </row>
    <row r="141" spans="1:19" x14ac:dyDescent="0.2">
      <c r="D141" s="48" t="s">
        <v>69</v>
      </c>
      <c r="H141" s="47" t="s">
        <v>70</v>
      </c>
      <c r="O141" s="47" t="s">
        <v>71</v>
      </c>
      <c r="P141" s="51"/>
      <c r="Q141" s="52" t="s">
        <v>72</v>
      </c>
      <c r="R141" s="51"/>
      <c r="S141" s="51"/>
    </row>
    <row r="142" spans="1:19" x14ac:dyDescent="0.2">
      <c r="A142" s="48" t="s">
        <v>73</v>
      </c>
      <c r="B142" s="49">
        <f t="array" aca="1" ref="B142" ca="1">_xll.GetPrice("FP-PNL-0001","Actual","Low",_LATESTvarPubDate)</f>
        <v>510</v>
      </c>
      <c r="C142" s="49">
        <f t="array" aca="1" ref="C142" ca="1">_xll.GetPrice("FP-PNL-0001","Actual","High",_LATESTvarPubDate)</f>
        <v>520</v>
      </c>
      <c r="D142" s="50">
        <f t="array" aca="1" ref="D142" ca="1">_xll.GetPrice("FP-PNL-0013","Actual","Low",_LATESTvarPubDate)</f>
        <v>576</v>
      </c>
      <c r="E142" s="50">
        <f t="array" aca="1" ref="E142" ca="1">_xll.GetPrice("FP-PNL-0013","Actual","High",_LATESTvarPubDate)</f>
        <v>588</v>
      </c>
      <c r="H142" s="48" t="s">
        <v>74</v>
      </c>
      <c r="I142" s="49">
        <f t="array" aca="1" ref="I142" ca="1">_xll.GetPrice("FP-LBR-0059","Actual","Low",_LATESTvarPubDate)</f>
        <v>975</v>
      </c>
      <c r="J142" s="49">
        <f t="array" aca="1" ref="J142" ca="1">_xll.GetPrice("FP-LBR-0059","Actual","High",_LATESTvarPubDate)</f>
        <v>985</v>
      </c>
      <c r="K142" s="50">
        <f t="array" aca="1" ref="K142" ca="1">_xll.GetPrice("FP-LBR-0121","Actual","Low",_LATESTvarPubDate)</f>
        <v>413</v>
      </c>
      <c r="L142" s="50">
        <f t="array" aca="1" ref="L142" ca="1">_xll.GetPrice("FP-LBR-0121","Actual","High",_LATESTvarPubDate)</f>
        <v>418</v>
      </c>
      <c r="O142" s="48" t="s">
        <v>20</v>
      </c>
      <c r="P142" s="60">
        <f t="array" aca="1" ref="P142" ca="1">_xll.GetPrice("FP-LBR-0072","Actual","Low",_LATESTvarPubDate)</f>
        <v>3000</v>
      </c>
      <c r="Q142" s="49">
        <f t="array" aca="1" ref="Q142" ca="1">_xll.GetPrice("FP-LBR-0072","Actual","High",_LATESTvarPubDate)</f>
        <v>3125</v>
      </c>
      <c r="R142" s="61">
        <f t="array" aca="1" ref="R142" ca="1">_xll.GetPrice("FP-LBR-0131","Actual","Low",_LATESTvarPubDate)</f>
        <v>1272</v>
      </c>
      <c r="S142" s="50">
        <f t="array" aca="1" ref="S142" ca="1">_xll.GetPrice("FP-LBR-0131","Actual","High",_LATESTvarPubDate)</f>
        <v>1325</v>
      </c>
    </row>
    <row r="143" spans="1:19" x14ac:dyDescent="0.2">
      <c r="A143" s="48" t="s">
        <v>75</v>
      </c>
      <c r="B143" s="49">
        <f t="array" aca="1" ref="B143" ca="1">_xll.GetPrice("FP-PNL-0002","Actual","Low",_LATESTvarPubDate)</f>
        <v>540</v>
      </c>
      <c r="C143" s="49">
        <f t="array" aca="1" ref="C143" ca="1">_xll.GetPrice("FP-PNL-0002","Actual","High",_LATESTvarPubDate)</f>
        <v>550</v>
      </c>
      <c r="D143" s="50">
        <f t="array" aca="1" ref="D143" ca="1">_xll.GetPrice("FP-PNL-0014","Actual","Low",_LATESTvarPubDate)</f>
        <v>644</v>
      </c>
      <c r="E143" s="50">
        <f t="array" aca="1" ref="E143" ca="1">_xll.GetPrice("FP-PNL-0014","Actual","High",_LATESTvarPubDate)</f>
        <v>656</v>
      </c>
      <c r="H143" s="48" t="s">
        <v>76</v>
      </c>
      <c r="I143" s="49">
        <f t="array" aca="1" ref="I143" ca="1">_xll.GetPrice("FP-LBR-0060","Actual","Low",_LATESTvarPubDate)</f>
        <v>975</v>
      </c>
      <c r="J143" s="49">
        <f t="array" aca="1" ref="J143" ca="1">_xll.GetPrice("FP-LBR-0060","Actual","High",_LATESTvarPubDate)</f>
        <v>985</v>
      </c>
      <c r="K143" s="50">
        <f t="array" aca="1" ref="K143" ca="1">_xll.GetPrice("FP-LBR-0122","Actual","Low",_LATESTvarPubDate)</f>
        <v>413</v>
      </c>
      <c r="L143" s="50">
        <f t="array" aca="1" ref="L143" ca="1">_xll.GetPrice("FP-LBR-0122","Actual","High",_LATESTvarPubDate)</f>
        <v>418</v>
      </c>
      <c r="O143" s="48" t="s">
        <v>22</v>
      </c>
      <c r="P143" s="49">
        <f t="array" aca="1" ref="P143" ca="1">_xll.GetPrice("FP-LBR-0073","Actual","Low",_LATESTvarPubDate)</f>
        <v>3250</v>
      </c>
      <c r="Q143" s="49">
        <f t="array" aca="1" ref="Q143" ca="1">_xll.GetPrice("FP-LBR-0073","Actual","High",_LATESTvarPubDate)</f>
        <v>3350</v>
      </c>
      <c r="R143" s="50">
        <f t="array" aca="1" ref="R143" ca="1">_xll.GetPrice("FP-LBR-0132","Actual","Low",_LATESTvarPubDate)</f>
        <v>1378</v>
      </c>
      <c r="S143" s="50">
        <f t="array" aca="1" ref="S143" ca="1">_xll.GetPrice("FP-LBR-0132","Actual","High",_LATESTvarPubDate)</f>
        <v>1420</v>
      </c>
    </row>
    <row r="144" spans="1:19" x14ac:dyDescent="0.2">
      <c r="D144" s="48" t="s">
        <v>77</v>
      </c>
      <c r="O144" s="48" t="s">
        <v>78</v>
      </c>
      <c r="P144" s="49">
        <f t="array" aca="1" ref="P144" ca="1">_xll.GetPrice("FP-LBR-0074","Actual","Low",_LATESTvarPubDate)</f>
        <v>3150</v>
      </c>
      <c r="Q144" s="49">
        <f t="array" aca="1" ref="Q144" ca="1">_xll.GetPrice("FP-LBR-0074","Actual","High",_LATESTvarPubDate)</f>
        <v>3300</v>
      </c>
      <c r="R144" s="50">
        <f t="array" aca="1" ref="R144" ca="1">_xll.GetPrice("FP-LBR-0133","Actual","Low",_LATESTvarPubDate)</f>
        <v>1336</v>
      </c>
      <c r="S144" s="50">
        <f t="array" aca="1" ref="S144" ca="1">_xll.GetPrice("FP-LBR-0133","Actual","High",_LATESTvarPubDate)</f>
        <v>1399</v>
      </c>
    </row>
    <row r="145" spans="1:19" x14ac:dyDescent="0.2">
      <c r="A145" s="48" t="s">
        <v>75</v>
      </c>
      <c r="B145" s="49">
        <f t="array" aca="1" ref="B145" ca="1">_xll.GetPrice("FP-PNL-0003","Actual","Low",_LATESTvarPubDate)</f>
        <v>540</v>
      </c>
      <c r="C145" s="49">
        <f t="array" aca="1" ref="C145" ca="1">_xll.GetPrice("FP-PNL-0003","Actual","High",_LATESTvarPubDate)</f>
        <v>545</v>
      </c>
      <c r="D145" s="50">
        <f t="array" aca="1" ref="D145" ca="1">_xll.GetPrice("FP-PNL-0015","Actual","Low",_LATESTvarPubDate)</f>
        <v>644</v>
      </c>
      <c r="E145" s="50">
        <f t="array" aca="1" ref="E145" ca="1">_xll.GetPrice("FP-PNL-0015","Actual","High",_LATESTvarPubDate)</f>
        <v>650</v>
      </c>
      <c r="H145" s="46" t="s">
        <v>79</v>
      </c>
      <c r="O145" s="48" t="s">
        <v>15</v>
      </c>
      <c r="P145" s="49">
        <f t="array" aca="1" ref="P145" ca="1">_xll.GetPrice("FP-LBR-0075","Actual","Low",_LATESTvarPubDate)</f>
        <v>3400</v>
      </c>
      <c r="Q145" s="49">
        <f t="array" aca="1" ref="Q145" ca="1">_xll.GetPrice("FP-LBR-0075","Actual","High",_LATESTvarPubDate)</f>
        <v>3475</v>
      </c>
      <c r="R145" s="50">
        <f t="array" aca="1" ref="R145" ca="1">_xll.GetPrice("FP-LBR-0134","Actual","Low",_LATESTvarPubDate)</f>
        <v>1442</v>
      </c>
      <c r="S145" s="50">
        <f t="array" aca="1" ref="S145" ca="1">_xll.GetPrice("FP-LBR-0134","Actual","High",_LATESTvarPubDate)</f>
        <v>1473</v>
      </c>
    </row>
    <row r="146" spans="1:19" x14ac:dyDescent="0.2">
      <c r="A146" s="48" t="s">
        <v>80</v>
      </c>
      <c r="B146" s="49">
        <f t="array" aca="1" ref="B146" ca="1">_xll.GetPrice("FP-PNL-0004","Actual","Low",_LATESTvarPubDate)</f>
        <v>640</v>
      </c>
      <c r="C146" s="49">
        <f t="array" aca="1" ref="C146" ca="1">_xll.GetPrice("FP-PNL-0004","Actual","High",_LATESTvarPubDate)</f>
        <v>650</v>
      </c>
      <c r="D146" s="50">
        <f t="array" aca="1" ref="D146" ca="1">_xll.GetPrice("FP-PNL-0016","Actual","Low",_LATESTvarPubDate)</f>
        <v>573</v>
      </c>
      <c r="E146" s="50">
        <f t="array" aca="1" ref="E146" ca="1">_xll.GetPrice("FP-PNL-0016","Actual","High",_LATESTvarPubDate)</f>
        <v>582</v>
      </c>
      <c r="H146" s="48" t="s">
        <v>81</v>
      </c>
      <c r="I146" s="49">
        <f t="array" aca="1" ref="I146" ca="1">_xll.GetPrice("FP-LBR-0061","Actual","Low",_LATESTvarPubDate)</f>
        <v>1115</v>
      </c>
      <c r="J146" s="49">
        <f t="array" aca="1" ref="J146" ca="1">_xll.GetPrice("FP-LBR-0061","Actual","High",_LATESTvarPubDate)</f>
        <v>1135</v>
      </c>
      <c r="K146" s="50">
        <f t="array" aca="1" ref="K146" ca="1">_xll.GetPrice("FP-LBR-0123","Actual","Low",_LATESTvarPubDate)</f>
        <v>473</v>
      </c>
      <c r="L146" s="50">
        <f t="array" aca="1" ref="L146" ca="1">_xll.GetPrice("FP-LBR-0123","Actual","High",_LATESTvarPubDate)</f>
        <v>481</v>
      </c>
      <c r="O146" s="48" t="s">
        <v>17</v>
      </c>
      <c r="P146" s="49">
        <f t="array" aca="1" ref="P146" ca="1">_xll.GetPrice("FP-LBR-0076","Actual","Low",_LATESTvarPubDate)</f>
        <v>3350</v>
      </c>
      <c r="Q146" s="49">
        <f t="array" aca="1" ref="Q146" ca="1">_xll.GetPrice("FP-LBR-0076","Actual","High",_LATESTvarPubDate)</f>
        <v>3550</v>
      </c>
      <c r="R146" s="50">
        <f t="array" aca="1" ref="R146" ca="1">_xll.GetPrice("FP-LBR-0135","Actual","Low",_LATESTvarPubDate)</f>
        <v>1420</v>
      </c>
      <c r="S146" s="50">
        <f t="array" aca="1" ref="S146" ca="1">_xll.GetPrice("FP-LBR-0135","Actual","High",_LATESTvarPubDate)</f>
        <v>1505</v>
      </c>
    </row>
    <row r="147" spans="1:19" x14ac:dyDescent="0.2">
      <c r="A147" s="47"/>
      <c r="C147" s="51"/>
      <c r="D147" s="48" t="s">
        <v>82</v>
      </c>
      <c r="E147" s="51"/>
    </row>
    <row r="148" spans="1:19" x14ac:dyDescent="0.2">
      <c r="A148" s="48" t="s">
        <v>75</v>
      </c>
      <c r="B148" s="49">
        <f t="array" aca="1" ref="B148" ca="1">_xll.GetPrice("FP-PNL-0005","Actual","Low",_LATESTvarPubDate)</f>
        <v>500</v>
      </c>
      <c r="C148" s="49">
        <f t="array" aca="1" ref="C148" ca="1">_xll.GetPrice("FP-PNL-0005","Actual","High",_LATESTvarPubDate)</f>
        <v>510</v>
      </c>
      <c r="D148" s="50">
        <f t="array" aca="1" ref="D148" ca="1">_xll.GetPrice("FP-PNL-0017","Actual","Low",_LATESTvarPubDate)</f>
        <v>596</v>
      </c>
      <c r="E148" s="50">
        <f t="array" aca="1" ref="E148" ca="1">_xll.GetPrice("FP-PNL-0017","Actual","High",_LATESTvarPubDate)</f>
        <v>608</v>
      </c>
      <c r="F148" s="62"/>
      <c r="O148" s="57" t="s">
        <v>83</v>
      </c>
      <c r="P148" s="51"/>
      <c r="Q148" s="52" t="s">
        <v>84</v>
      </c>
      <c r="R148" s="51"/>
      <c r="S148" s="51"/>
    </row>
    <row r="149" spans="1:19" x14ac:dyDescent="0.2">
      <c r="H149" s="47" t="s">
        <v>85</v>
      </c>
      <c r="O149" s="48" t="s">
        <v>86</v>
      </c>
      <c r="P149" s="60">
        <f t="array" aca="1" ref="P149" ca="1">_xll.GetPrice("FP-LBR-0069","Actual","Low",_LATESTvarPubDate)</f>
        <v>5400</v>
      </c>
      <c r="Q149" s="49">
        <f t="array" aca="1" ref="Q149" ca="1">_xll.GetPrice("FP-LBR-0069","Actual","High",_LATESTvarPubDate)</f>
        <v>5550</v>
      </c>
      <c r="R149" s="61">
        <f t="array" aca="1" ref="R149" ca="1">_xll.GetPrice("FP-LBR-0136","Actual","Low",_LATESTvarPubDate)</f>
        <v>2290</v>
      </c>
      <c r="S149" s="50">
        <f t="array" aca="1" ref="S149" ca="1">_xll.GetPrice("FP-LBR-0136","Actual","High",_LATESTvarPubDate)</f>
        <v>2353</v>
      </c>
    </row>
    <row r="150" spans="1:19" x14ac:dyDescent="0.2">
      <c r="H150" s="48" t="s">
        <v>87</v>
      </c>
      <c r="I150" s="50">
        <f t="array" aca="1" ref="I150" ca="1">_xll.GetPrice("FP-LBR-0124","Actual","Low",_LATESTvarPubDate)</f>
        <v>341</v>
      </c>
      <c r="J150" s="50">
        <f t="array" aca="1" ref="J150" ca="1">_xll.GetPrice("FP-LBR-0124","Actual","High",_LATESTvarPubDate)</f>
        <v>348</v>
      </c>
      <c r="K150" s="49">
        <f t="array" aca="1" ref="K150" ca="1">_xll.GetPrice("FP-LBR-0062","Actual","Low",_LATESTvarPubDate)</f>
        <v>220</v>
      </c>
      <c r="L150" s="49">
        <f t="array" aca="1" ref="L150" ca="1">_xll.GetPrice("FP-LBR-0062","Actual","High",_LATESTvarPubDate)</f>
        <v>225</v>
      </c>
      <c r="O150" s="48" t="s">
        <v>88</v>
      </c>
      <c r="P150" s="49">
        <f t="array" aca="1" ref="P150" ca="1">_xll.GetPrice("FP-LBR-0070","Actual","Low",_LATESTvarPubDate)</f>
        <v>8100</v>
      </c>
      <c r="Q150" s="49">
        <f t="array" aca="1" ref="Q150" ca="1">_xll.GetPrice("FP-LBR-0070","Actual","High",_LATESTvarPubDate)</f>
        <v>8400</v>
      </c>
      <c r="R150" s="50">
        <f t="array" aca="1" ref="R150" ca="1">_xll.GetPrice("FP-LBR-0137","Actual","Low",_LATESTvarPubDate)</f>
        <v>3434</v>
      </c>
      <c r="S150" s="50">
        <f t="array" aca="1" ref="S150" ca="1">_xll.GetPrice("FP-LBR-0137","Actual","High",_LATESTvarPubDate)</f>
        <v>3562</v>
      </c>
    </row>
    <row r="151" spans="1:19" x14ac:dyDescent="0.2">
      <c r="A151" s="46" t="s">
        <v>89</v>
      </c>
      <c r="F151" s="62"/>
      <c r="H151" s="48" t="s">
        <v>90</v>
      </c>
      <c r="I151" s="50">
        <f t="array" aca="1" ref="I151" ca="1">_xll.GetPrice("FP-LBR-0125","Actual","Low",_LATESTvarPubDate)</f>
        <v>248</v>
      </c>
      <c r="J151" s="50">
        <f t="array" aca="1" ref="J151" ca="1">_xll.GetPrice("FP-LBR-0125","Actual","High",_LATESTvarPubDate)</f>
        <v>263</v>
      </c>
      <c r="K151" s="49">
        <f t="array" aca="1" ref="K151" ca="1">_xll.GetPrice("FP-LBR-0063","Actual","Low",_LATESTvarPubDate)</f>
        <v>160</v>
      </c>
      <c r="L151" s="49">
        <f t="array" aca="1" ref="L151" ca="1">_xll.GetPrice("FP-LBR-0063","Actual","High",_LATESTvarPubDate)</f>
        <v>170</v>
      </c>
      <c r="O151" s="48" t="s">
        <v>17</v>
      </c>
      <c r="P151" s="49">
        <f t="array" aca="1" ref="P151" ca="1">_xll.GetPrice("FP-LBR-0071","Actual","Low",_LATESTvarPubDate)</f>
        <v>8100</v>
      </c>
      <c r="Q151" s="49">
        <f t="array" aca="1" ref="Q151" ca="1">_xll.GetPrice("FP-LBR-0071","Actual","High",_LATESTvarPubDate)</f>
        <v>8800</v>
      </c>
      <c r="R151" s="50">
        <f t="array" aca="1" ref="R151" ca="1">_xll.GetPrice("FP-LBR-0138","Actual","Low",_LATESTvarPubDate)</f>
        <v>3434</v>
      </c>
      <c r="S151" s="50">
        <f t="array" aca="1" ref="S151" ca="1">_xll.GetPrice("FP-LBR-0138","Actual","High",_LATESTvarPubDate)</f>
        <v>3731</v>
      </c>
    </row>
    <row r="152" spans="1:19" x14ac:dyDescent="0.2">
      <c r="A152" s="47" t="s">
        <v>91</v>
      </c>
      <c r="H152" s="48" t="s">
        <v>92</v>
      </c>
      <c r="I152" s="50">
        <f t="array" aca="1" ref="I152" ca="1">_xll.GetPrice("FP-LBR-0126","Actual","Low",_LATESTvarPubDate)</f>
        <v>235</v>
      </c>
      <c r="J152" s="50">
        <f t="array" aca="1" ref="J152" ca="1">_xll.GetPrice("FP-LBR-0126","Actual","High",_LATESTvarPubDate)</f>
        <v>251</v>
      </c>
      <c r="K152" s="49">
        <f t="array" aca="1" ref="K152" ca="1">_xll.GetPrice("FP-LBR-0064","Actual","Low",_LATESTvarPubDate)</f>
        <v>145</v>
      </c>
      <c r="L152" s="49">
        <f t="array" aca="1" ref="L152" ca="1">_xll.GetPrice("FP-LBR-0064","Actual","High",_LATESTvarPubDate)</f>
        <v>155</v>
      </c>
    </row>
    <row r="153" spans="1:19" x14ac:dyDescent="0.2">
      <c r="A153" s="48" t="s">
        <v>93</v>
      </c>
      <c r="B153" s="49">
        <f t="array" aca="1" ref="B153" ca="1">_xll.GetPrice("FP-LBR-0053","Actual","Low",_LATESTvarPubDate)</f>
        <v>600</v>
      </c>
      <c r="C153" s="49">
        <f t="array" aca="1" ref="C153" ca="1">_xll.GetPrice("FP-LBR-0053","Actual","High",_LATESTvarPubDate)</f>
        <v>615</v>
      </c>
      <c r="D153" s="50">
        <f t="array" aca="1" ref="D153" ca="1">_xll.GetPrice("FP-LBR-0115","Actual","Low",_LATESTvarPubDate)</f>
        <v>388</v>
      </c>
      <c r="E153" s="50">
        <f t="array" aca="1" ref="E153" ca="1">_xll.GetPrice("FP-LBR-0115","Actual","High",_LATESTvarPubDate)</f>
        <v>397</v>
      </c>
      <c r="H153" s="48" t="s">
        <v>94</v>
      </c>
      <c r="I153" s="50">
        <f t="array" aca="1" ref="I153" ca="1">_xll.GetPrice("FP-LBR-0127","Actual","Low",_LATESTvarPubDate)</f>
        <v>217</v>
      </c>
      <c r="J153" s="50">
        <f t="array" aca="1" ref="J153" ca="1">_xll.GetPrice("FP-LBR-0127","Actual","High",_LATESTvarPubDate)</f>
        <v>232</v>
      </c>
      <c r="K153" s="49">
        <f t="array" aca="1" ref="K153" ca="1">_xll.GetPrice("FP-LBR-0065","Actual","Low",_LATESTvarPubDate)</f>
        <v>140</v>
      </c>
      <c r="L153" s="49">
        <f t="array" aca="1" ref="L153" ca="1">_xll.GetPrice("FP-LBR-0065","Actual","High",_LATESTvarPubDate)</f>
        <v>150</v>
      </c>
    </row>
    <row r="154" spans="1:19" x14ac:dyDescent="0.2">
      <c r="A154" s="48" t="s">
        <v>95</v>
      </c>
      <c r="B154" s="49">
        <f t="array" aca="1" ref="B154" ca="1">_xll.GetPrice("FP-LBR-0054","Actual","Low",_LATESTvarPubDate)</f>
        <v>700</v>
      </c>
      <c r="C154" s="49">
        <f t="array" aca="1" ref="C154" ca="1">_xll.GetPrice("FP-LBR-0054","Actual","High",_LATESTvarPubDate)</f>
        <v>715</v>
      </c>
      <c r="D154" s="50">
        <f t="array" aca="1" ref="D154" ca="1">_xll.GetPrice("FP-LBR-0116","Actual","Low",_LATESTvarPubDate)</f>
        <v>428</v>
      </c>
      <c r="E154" s="50">
        <f t="array" aca="1" ref="E154" ca="1">_xll.GetPrice("FP-LBR-0116","Actual","High",_LATESTvarPubDate)</f>
        <v>437</v>
      </c>
      <c r="H154" s="48" t="s">
        <v>96</v>
      </c>
      <c r="I154" s="50">
        <f t="array" aca="1" ref="I154" ca="1">_xll.GetPrice("FP-LBR-0128","Actual","Low",_LATESTvarPubDate)</f>
        <v>195</v>
      </c>
      <c r="J154" s="50">
        <f t="array" aca="1" ref="J154" ca="1">_xll.GetPrice("FP-LBR-0128","Actual","High",_LATESTvarPubDate)</f>
        <v>211</v>
      </c>
      <c r="K154" s="49">
        <f t="array" aca="1" ref="K154" ca="1">_xll.GetPrice("FP-LBR-0066","Actual","Low",_LATESTvarPubDate)</f>
        <v>120</v>
      </c>
      <c r="L154" s="49">
        <f t="array" aca="1" ref="L154" ca="1">_xll.GetPrice("FP-LBR-0066","Actual","High",_LATESTvarPubDate)</f>
        <v>130</v>
      </c>
      <c r="O154" s="47" t="s">
        <v>97</v>
      </c>
    </row>
    <row r="155" spans="1:19" x14ac:dyDescent="0.2">
      <c r="A155" s="48" t="s">
        <v>98</v>
      </c>
      <c r="B155" s="49">
        <f t="array" aca="1" ref="B155" ca="1">_xll.GetPrice("FP-LBR-0055","Actual","Low",_LATESTvarPubDate)</f>
        <v>635</v>
      </c>
      <c r="C155" s="49">
        <f t="array" aca="1" ref="C155" ca="1">_xll.GetPrice("FP-LBR-0055","Actual","High",_LATESTvarPubDate)</f>
        <v>700</v>
      </c>
      <c r="D155" s="50">
        <f t="array" aca="1" ref="D155" ca="1">_xll.GetPrice("FP-LBR-0117","Actual","Low",_LATESTvarPubDate)</f>
        <v>410</v>
      </c>
      <c r="E155" s="50">
        <f t="array" aca="1" ref="E155" ca="1">_xll.GetPrice("FP-LBR-0117","Actual","High",_LATESTvarPubDate)</f>
        <v>452</v>
      </c>
      <c r="P155" s="63"/>
    </row>
    <row r="156" spans="1:19" x14ac:dyDescent="0.2">
      <c r="O156" s="48" t="s">
        <v>99</v>
      </c>
      <c r="P156" s="49">
        <f t="array" aca="1" ref="P156" ca="1">_xll.GetPrice("FP-LBR-0144","Actual","Low",_LATESTvarPubDate)</f>
        <v>865</v>
      </c>
      <c r="Q156" s="50">
        <f t="array" aca="1" ref="Q156" ca="1">_xll.GetPrice("FP-LBR-0139","Actual","Low",_LATESTvarPubDate)</f>
        <v>559</v>
      </c>
    </row>
    <row r="157" spans="1:19" x14ac:dyDescent="0.2">
      <c r="H157" s="47" t="s">
        <v>100</v>
      </c>
      <c r="O157" s="48" t="s">
        <v>101</v>
      </c>
      <c r="P157" s="49">
        <f t="array" aca="1" ref="P157" ca="1">_xll.GetPrice("FP-LBR-0145","Actual","Low",_LATESTvarPubDate)</f>
        <v>950</v>
      </c>
      <c r="Q157" s="50">
        <f t="array" aca="1" ref="Q157" ca="1">_xll.GetPrice("FP-LBR-0140","Actual","Low",_LATESTvarPubDate)</f>
        <v>586</v>
      </c>
    </row>
    <row r="158" spans="1:19" x14ac:dyDescent="0.2">
      <c r="A158" s="46" t="s">
        <v>102</v>
      </c>
      <c r="H158" s="48" t="s">
        <v>103</v>
      </c>
      <c r="I158" s="49">
        <f t="array" aca="1" ref="I158" ca="1">_xll.GetPrice("FP-LBR-0067","Actual","Low",_LATESTvarPubDate)</f>
        <v>645</v>
      </c>
      <c r="J158" s="49">
        <f t="array" aca="1" ref="J158" ca="1">_xll.GetPrice("FP-LBR-0067","Actual","High",_LATESTvarPubDate)</f>
        <v>670</v>
      </c>
      <c r="K158" s="50">
        <f t="array" aca="1" ref="K158" ca="1">_xll.GetPrice("FP-LBR-0129","Actual","Low",_LATESTvarPubDate)</f>
        <v>373</v>
      </c>
      <c r="L158" s="50">
        <f t="array" aca="1" ref="L158" ca="1">_xll.GetPrice("FP-LBR-0129","Actual","High",_LATESTvarPubDate)</f>
        <v>387</v>
      </c>
      <c r="O158" s="48" t="s">
        <v>104</v>
      </c>
      <c r="P158" s="49">
        <f t="array" aca="1" ref="P158" ca="1">_xll.GetPrice("FP-LBR-0146","Actual","Low",_LATESTvarPubDate)</f>
        <v>1165</v>
      </c>
      <c r="Q158" s="50">
        <f t="array" aca="1" ref="Q158" ca="1">_xll.GetPrice("FP-LBR-0141","Actual","Low",_LATESTvarPubDate)</f>
        <v>727</v>
      </c>
    </row>
    <row r="159" spans="1:19" x14ac:dyDescent="0.2">
      <c r="A159" s="47" t="s">
        <v>79</v>
      </c>
      <c r="H159" s="48" t="s">
        <v>105</v>
      </c>
      <c r="I159" s="49">
        <f t="array" aca="1" ref="I159" ca="1">_xll.GetPrice("FP-LBR-0068","Actual","Low",_LATESTvarPubDate)</f>
        <v>1010</v>
      </c>
      <c r="J159" s="49">
        <f t="array" aca="1" ref="J159" ca="1">_xll.GetPrice("FP-LBR-0068","Actual","High",_LATESTvarPubDate)</f>
        <v>1045</v>
      </c>
      <c r="K159" s="50">
        <f t="array" aca="1" ref="K159" ca="1">_xll.GetPrice("FP-LBR-0130","Actual","Low",_LATESTvarPubDate)</f>
        <v>584</v>
      </c>
      <c r="L159" s="50">
        <f t="array" aca="1" ref="L159" ca="1">_xll.GetPrice("FP-LBR-0130","Actual","High",_LATESTvarPubDate)</f>
        <v>604</v>
      </c>
      <c r="O159" s="48" t="s">
        <v>106</v>
      </c>
      <c r="P159" s="49">
        <f t="array" aca="1" ref="P159" ca="1">_xll.GetPrice("FP-LBR-0147","Actual","Low",_LATESTvarPubDate)</f>
        <v>1315</v>
      </c>
      <c r="Q159" s="50">
        <f t="array" aca="1" ref="Q159" ca="1">_xll.GetPrice("FP-LBR-0142","Actual","Low",_LATESTvarPubDate)</f>
        <v>804</v>
      </c>
    </row>
    <row r="160" spans="1:19" x14ac:dyDescent="0.2">
      <c r="A160" s="48" t="s">
        <v>107</v>
      </c>
      <c r="B160" s="49">
        <f t="array" aca="1" ref="B160" ca="1">_xll.GetPrice("FP-LBR-0056","Actual","Low",_LATESTvarPubDate)</f>
        <v>1110</v>
      </c>
      <c r="C160" s="49">
        <f t="array" aca="1" ref="C160" ca="1">_xll.GetPrice("FP-LBR-0056","Actual","High",_LATESTvarPubDate)</f>
        <v>1135</v>
      </c>
      <c r="D160" s="50">
        <f t="array" aca="1" ref="D160" ca="1">_xll.GetPrice("FP-LBR-0118","Actual","Low",_LATESTvarPubDate)</f>
        <v>471</v>
      </c>
      <c r="E160" s="50">
        <f t="array" aca="1" ref="E160" ca="1">_xll.GetPrice("FP-LBR-0118","Actual","High",_LATESTvarPubDate)</f>
        <v>481</v>
      </c>
      <c r="O160" s="48" t="s">
        <v>108</v>
      </c>
      <c r="P160" s="49">
        <f t="array" aca="1" ref="P160" ca="1">_xll.GetPrice("FP-LBR-0148","Actual","Low",_LATESTvarPubDate)</f>
        <v>1470</v>
      </c>
      <c r="Q160" s="50">
        <f t="array" aca="1" ref="Q160" ca="1">_xll.GetPrice("FP-LBR-0143","Actual","Low",_LATESTvarPubDate)</f>
        <v>886</v>
      </c>
    </row>
    <row r="161" spans="1:17" x14ac:dyDescent="0.2">
      <c r="A161" s="48" t="s">
        <v>109</v>
      </c>
      <c r="B161" s="49">
        <f t="array" aca="1" ref="B161" ca="1">_xll.GetPrice("FP-LBR-0057","Actual","Low",_LATESTvarPubDate)</f>
        <v>1110</v>
      </c>
      <c r="C161" s="49">
        <f t="array" aca="1" ref="C161" ca="1">_xll.GetPrice("FP-LBR-0057","Actual","High",_LATESTvarPubDate)</f>
        <v>1135</v>
      </c>
      <c r="D161" s="50">
        <f t="array" aca="1" ref="D161" ca="1">_xll.GetPrice("FP-LBR-0119","Actual","Low",_LATESTvarPubDate)</f>
        <v>471</v>
      </c>
      <c r="E161" s="50">
        <f t="array" aca="1" ref="E161" ca="1">_xll.GetPrice("FP-LBR-0119","Actual","High",_LATESTvarPubDate)</f>
        <v>481</v>
      </c>
    </row>
    <row r="163" spans="1:17" x14ac:dyDescent="0.2">
      <c r="O163" s="47" t="s">
        <v>110</v>
      </c>
    </row>
    <row r="164" spans="1:17" x14ac:dyDescent="0.2">
      <c r="A164" s="46" t="s">
        <v>111</v>
      </c>
      <c r="O164" s="48" t="s">
        <v>112</v>
      </c>
      <c r="P164" s="49">
        <f t="array" aca="1" ref="P164" ca="1">_xll.GetPrice("FP-PNL-0006","Actual","Low",_LATESTvarPubDate)</f>
        <v>505</v>
      </c>
      <c r="Q164" s="50">
        <f t="array" aca="1" ref="Q164" ca="1">_xll.GetPrice("FP-PNL-0018","Actual","Low",_LATESTvarPubDate)</f>
        <v>297</v>
      </c>
    </row>
    <row r="165" spans="1:17" x14ac:dyDescent="0.2">
      <c r="A165" s="47" t="s">
        <v>79</v>
      </c>
    </row>
    <row r="166" spans="1:17" x14ac:dyDescent="0.2">
      <c r="A166" s="48" t="s">
        <v>113</v>
      </c>
      <c r="B166" s="49">
        <f t="array" aca="1" ref="B166" ca="1">_xll.GetPrice("FP-LBR-0058","Actual","Low",_LATESTvarPubDate)</f>
        <v>1200</v>
      </c>
      <c r="C166" s="49">
        <f t="array" aca="1" ref="C166" ca="1">_xll.GetPrice("FP-LBR-0058","Actual","High",_LATESTvarPubDate)</f>
        <v>1250</v>
      </c>
      <c r="D166" s="50">
        <f t="array" aca="1" ref="D166" ca="1">_xll.GetPrice("FP-LBR-0120","Actual","Low",_LATESTvarPubDate)</f>
        <v>509</v>
      </c>
      <c r="E166" s="50">
        <f t="array" aca="1" ref="E166" ca="1">_xll.GetPrice("FP-LBR-0120","Actual","High",_LATESTvarPubDate)</f>
        <v>530</v>
      </c>
    </row>
  </sheetData>
  <sheetProtection algorithmName="SHA-512" hashValue="whuZI0ub2V8PLXKViOtQ/BYDzdRDGLgFAEHU4evkvsC0WoPGg9vkQ5vDTE2FewH73nJXy8YBZ5S8g+6L57nLmQ==" saltValue="Sptx3azTSNOfMYhqq6jQPA==" spinCount="100000" sheet="1" objects="1" scenarios="1"/>
  <printOptions headings="1" gridLines="1" gridLinesSet="0"/>
  <pageMargins left="0.5" right="0.5" top="0.5" bottom="0.5" header="0.5" footer="0.5"/>
  <pageSetup scale="2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F166"/>
  <sheetViews>
    <sheetView zoomScaleNormal="100" workbookViewId="0">
      <selection activeCell="B22" sqref="B22"/>
    </sheetView>
  </sheetViews>
  <sheetFormatPr defaultRowHeight="12.75" x14ac:dyDescent="0.2"/>
  <cols>
    <col min="1" max="1" width="17.7109375" customWidth="1"/>
    <col min="2" max="2" width="15.85546875" bestFit="1" customWidth="1"/>
    <col min="27" max="27" width="11.42578125" customWidth="1"/>
    <col min="28" max="28" width="12.42578125" customWidth="1"/>
    <col min="29" max="29" width="13" customWidth="1"/>
    <col min="30" max="30" width="14.42578125" customWidth="1"/>
    <col min="31" max="31" width="10.7109375" customWidth="1"/>
    <col min="37" max="37" width="11.42578125" customWidth="1"/>
    <col min="53" max="53" width="10.140625" customWidth="1"/>
  </cols>
  <sheetData>
    <row r="1" spans="1:17" ht="20.25" x14ac:dyDescent="0.3">
      <c r="A1" s="25" t="s">
        <v>0</v>
      </c>
    </row>
    <row r="3" spans="1:17" x14ac:dyDescent="0.2">
      <c r="O3" s="65"/>
      <c r="P3" s="65"/>
      <c r="Q3" s="65"/>
    </row>
    <row r="4" spans="1:17" x14ac:dyDescent="0.2">
      <c r="O4" s="65"/>
      <c r="P4" s="21"/>
      <c r="Q4" s="65"/>
    </row>
    <row r="5" spans="1:17" x14ac:dyDescent="0.2">
      <c r="O5" s="65"/>
      <c r="P5" s="21"/>
      <c r="Q5" s="65"/>
    </row>
    <row r="6" spans="1:17" x14ac:dyDescent="0.2">
      <c r="O6" s="65"/>
      <c r="P6" s="21"/>
      <c r="Q6" s="65"/>
    </row>
    <row r="7" spans="1:17" x14ac:dyDescent="0.2">
      <c r="O7" s="65"/>
      <c r="P7" s="65"/>
      <c r="Q7" s="65"/>
    </row>
    <row r="8" spans="1:17" x14ac:dyDescent="0.2">
      <c r="O8" s="65"/>
      <c r="P8" s="65"/>
      <c r="Q8" s="65"/>
    </row>
    <row r="9" spans="1:17" x14ac:dyDescent="0.2">
      <c r="B9" s="22"/>
      <c r="D9" s="23"/>
      <c r="O9" s="65"/>
      <c r="P9" s="65"/>
      <c r="Q9" s="65"/>
    </row>
    <row r="10" spans="1:17" x14ac:dyDescent="0.2">
      <c r="B10" s="22"/>
      <c r="O10" s="65"/>
      <c r="P10" s="65"/>
      <c r="Q10" s="65"/>
    </row>
    <row r="11" spans="1:17" x14ac:dyDescent="0.2">
      <c r="B11" s="22"/>
      <c r="O11" s="65"/>
      <c r="P11" s="65"/>
      <c r="Q11" s="65"/>
    </row>
    <row r="21" spans="2:6" x14ac:dyDescent="0.2">
      <c r="B21" s="20" t="s">
        <v>1</v>
      </c>
      <c r="C21" s="20" t="s">
        <v>2</v>
      </c>
      <c r="D21" s="20" t="s">
        <v>3</v>
      </c>
      <c r="E21" s="20"/>
      <c r="F21" s="20"/>
    </row>
    <row r="22" spans="2:6" x14ac:dyDescent="0.2">
      <c r="B22" s="30">
        <v>45350</v>
      </c>
      <c r="C22" s="66">
        <f>YEAR(_SPECIFICvarPubDate)</f>
        <v>2024</v>
      </c>
      <c r="D22" s="28">
        <f>MONTH(_SPECIFICvarPubDate)</f>
        <v>2</v>
      </c>
      <c r="E22" s="28"/>
      <c r="F22" s="28"/>
    </row>
    <row r="23" spans="2:6" x14ac:dyDescent="0.2">
      <c r="B23" s="27"/>
    </row>
    <row r="24" spans="2:6" x14ac:dyDescent="0.2">
      <c r="B24" s="27"/>
    </row>
    <row r="28" spans="2:6" ht="15" x14ac:dyDescent="0.25">
      <c r="B28" t="s">
        <v>114</v>
      </c>
    </row>
    <row r="101" spans="1:58" ht="15" x14ac:dyDescent="0.2">
      <c r="A101" s="11">
        <f>_SPECIFICvarPubDate</f>
        <v>45350</v>
      </c>
      <c r="B101" s="5" t="str">
        <f>$A$1</f>
        <v>RANDOM LENGTHS INTERNATIONAL REPORT</v>
      </c>
      <c r="BC101" s="67"/>
      <c r="BD101" s="67"/>
      <c r="BE101" s="67"/>
      <c r="BF101" s="67"/>
    </row>
    <row r="103" spans="1:58" ht="15.75" x14ac:dyDescent="0.25">
      <c r="A103" s="12" t="s">
        <v>4</v>
      </c>
    </row>
    <row r="104" spans="1:58" x14ac:dyDescent="0.2">
      <c r="A104" s="6"/>
    </row>
    <row r="105" spans="1:58" x14ac:dyDescent="0.2">
      <c r="A105" s="3" t="s">
        <v>5</v>
      </c>
      <c r="H105" s="3" t="s">
        <v>5</v>
      </c>
      <c r="O105" s="3" t="s">
        <v>6</v>
      </c>
    </row>
    <row r="106" spans="1:58" x14ac:dyDescent="0.2">
      <c r="A106" s="7" t="s">
        <v>7</v>
      </c>
      <c r="H106" s="7" t="s">
        <v>8</v>
      </c>
      <c r="O106" s="7" t="s">
        <v>9</v>
      </c>
    </row>
    <row r="107" spans="1:58" x14ac:dyDescent="0.2">
      <c r="A107" s="4" t="s">
        <v>10</v>
      </c>
      <c r="B107" s="19" cm="1">
        <f t="array" ref="B107">_xll.GetPrice("FP-LBR-0020","Actual","Low",_SPECIFICvarPubDate)</f>
        <v>970</v>
      </c>
      <c r="C107" s="19" cm="1">
        <f t="array" ref="C107">_xll.GetPrice("FP-LBR-0020","Actual","High",_SPECIFICvarPubDate)</f>
        <v>990</v>
      </c>
      <c r="D107" s="2">
        <f t="array" ref="D107">_xll.GetPrice("FP-LBR-0077","Actual","Low",_SPECIFICvarPubDate)</f>
        <v>411</v>
      </c>
      <c r="E107" s="2">
        <f t="array" ref="E107">_xll.GetPrice("FP-LBR-0077","Actual","High",_SPECIFICvarPubDate)</f>
        <v>420</v>
      </c>
      <c r="H107" s="4" t="s">
        <v>10</v>
      </c>
      <c r="I107" s="19">
        <f t="array" ref="I107">_xll.GetPrice("FP-LBR-0025","Actual","Low",_SPECIFICvarPubDate)</f>
        <v>980</v>
      </c>
      <c r="J107" s="19">
        <f t="array" ref="J107">_xll.GetPrice("FP-LBR-0025","Actual","High",_SPECIFICvarPubDate)</f>
        <v>1200</v>
      </c>
      <c r="K107" s="2">
        <f t="array" ref="K107">_xll.GetPrice("FP-LBR-0087","Actual","Low",_SPECIFICvarPubDate)</f>
        <v>416</v>
      </c>
      <c r="L107" s="2">
        <f t="array" ref="L107">_xll.GetPrice("FP-LBR-0087","Actual","High",_SPECIFICvarPubDate)</f>
        <v>509</v>
      </c>
      <c r="R107" s="4" t="s">
        <v>11</v>
      </c>
    </row>
    <row r="108" spans="1:58" x14ac:dyDescent="0.2">
      <c r="A108" s="4" t="s">
        <v>12</v>
      </c>
      <c r="B108" s="19">
        <f t="array" ref="B108">_xll.GetPrice("FP-LBR-0021","Actual","Low",_SPECIFICvarPubDate)</f>
        <v>630</v>
      </c>
      <c r="C108" s="19">
        <f t="array" ref="C108">_xll.GetPrice("FP-LBR-0021","Actual","High",_SPECIFICvarPubDate)</f>
        <v>650</v>
      </c>
      <c r="D108" s="2">
        <f t="array" ref="D108">_xll.GetPrice("FP-LBR-0078","Actual","Low",_SPECIFICvarPubDate)</f>
        <v>267</v>
      </c>
      <c r="E108" s="2">
        <f t="array" ref="E108">_xll.GetPrice("FP-LBR-0078","Actual","High",_SPECIFICvarPubDate)</f>
        <v>276</v>
      </c>
      <c r="H108" s="4" t="s">
        <v>12</v>
      </c>
      <c r="I108" s="19">
        <f t="array" ref="I108">_xll.GetPrice("FP-LBR-0026","Actual","Low",_SPECIFICvarPubDate)</f>
        <v>1040</v>
      </c>
      <c r="J108" s="19">
        <f t="array" ref="J108">_xll.GetPrice("FP-LBR-0026","Actual","High",_SPECIFICvarPubDate)</f>
        <v>1080</v>
      </c>
      <c r="K108" s="2">
        <f t="array" ref="K108">_xll.GetPrice("FP-LBR-0088","Actual","Low",_SPECIFICvarPubDate)</f>
        <v>441</v>
      </c>
      <c r="L108" s="2">
        <f t="array" ref="L108">_xll.GetPrice("FP-LBR-0088","Actual","High",_SPECIFICvarPubDate)</f>
        <v>458</v>
      </c>
      <c r="O108" s="4" t="s">
        <v>13</v>
      </c>
      <c r="P108" s="19">
        <f t="array" ref="P108">_xll.GetPrice("FP-LBR-0042","Actual","Low",_SPECIFICvarPubDate)</f>
        <v>2300</v>
      </c>
      <c r="Q108" s="19">
        <f t="array" ref="Q108">_xll.GetPrice("FP-LBR-0042","Actual","High",_SPECIFICvarPubDate)</f>
        <v>2500</v>
      </c>
      <c r="R108" s="2">
        <f t="array" ref="R108">_xll.GetPrice("FP-LBR-0104","Actual","Low",_SPECIFICvarPubDate)</f>
        <v>975</v>
      </c>
      <c r="S108" s="2">
        <f t="array" ref="S108">_xll.GetPrice("FP-LBR-0104","Actual","High",_SPECIFICvarPubDate)</f>
        <v>1060</v>
      </c>
    </row>
    <row r="109" spans="1:58" x14ac:dyDescent="0.2">
      <c r="A109" s="4" t="s">
        <v>14</v>
      </c>
      <c r="B109" s="19">
        <f t="array" ref="B109">_xll.GetPrice("FP-LBR-0022","Actual","Low",_SPECIFICvarPubDate)</f>
        <v>775</v>
      </c>
      <c r="C109" s="19">
        <f t="array" ref="C109">_xll.GetPrice("FP-LBR-0022","Actual","High",_SPECIFICvarPubDate)</f>
        <v>795</v>
      </c>
      <c r="D109" s="2">
        <f t="array" ref="D109">_xll.GetPrice("FP-LBR-0079","Actual","Low",_SPECIFICvarPubDate)</f>
        <v>329</v>
      </c>
      <c r="E109" s="2">
        <f t="array" ref="E109">_xll.GetPrice("FP-LBR-0079","Actual","High",_SPECIFICvarPubDate)</f>
        <v>337</v>
      </c>
      <c r="H109" s="4" t="s">
        <v>14</v>
      </c>
      <c r="I109" s="19">
        <f t="array" ref="I109">_xll.GetPrice("FP-LBR-0027","Actual","Low",_SPECIFICvarPubDate)</f>
        <v>1070</v>
      </c>
      <c r="J109" s="19">
        <f t="array" ref="J109">_xll.GetPrice("FP-LBR-0027","Actual","High",_SPECIFICvarPubDate)</f>
        <v>1145</v>
      </c>
      <c r="K109" s="2">
        <f t="array" ref="K109">_xll.GetPrice("FP-LBR-0089","Actual","Low",_SPECIFICvarPubDate)</f>
        <v>454</v>
      </c>
      <c r="L109" s="2">
        <f t="array" ref="L109">_xll.GetPrice("FP-LBR-0089","Actual","High",_SPECIFICvarPubDate)</f>
        <v>485</v>
      </c>
      <c r="O109" s="4" t="s">
        <v>15</v>
      </c>
      <c r="P109" s="19">
        <f t="array" ref="P109">_xll.GetPrice("FP-LBR-0043","Actual","Low",_SPECIFICvarPubDate)</f>
        <v>2700</v>
      </c>
      <c r="Q109" s="19">
        <f t="array" ref="Q109">_xll.GetPrice("FP-LBR-0043","Actual","High",_SPECIFICvarPubDate)</f>
        <v>2950</v>
      </c>
      <c r="R109" s="2">
        <f t="array" ref="R109">_xll.GetPrice("FP-LBR-0105","Actual","Low",_SPECIFICvarPubDate)</f>
        <v>1145</v>
      </c>
      <c r="S109" s="2">
        <f t="array" ref="S109">_xll.GetPrice("FP-LBR-0105","Actual","High",_SPECIFICvarPubDate)</f>
        <v>1251</v>
      </c>
    </row>
    <row r="110" spans="1:58" x14ac:dyDescent="0.2">
      <c r="A110" s="4" t="s">
        <v>16</v>
      </c>
      <c r="B110" s="19">
        <f t="array" ref="B110">_xll.GetPrice("FP-LBR-0023","Actual","Low",_SPECIFICvarPubDate)</f>
        <v>920</v>
      </c>
      <c r="C110" s="19">
        <f t="array" ref="C110">_xll.GetPrice("FP-LBR-0023","Actual","High",_SPECIFICvarPubDate)</f>
        <v>940</v>
      </c>
      <c r="D110" s="2">
        <f t="array" ref="D110">_xll.GetPrice("FP-LBR-0080","Actual","Low",_SPECIFICvarPubDate)</f>
        <v>390</v>
      </c>
      <c r="E110" s="2">
        <f t="array" ref="E110">_xll.GetPrice("FP-LBR-0080","Actual","High",_SPECIFICvarPubDate)</f>
        <v>399</v>
      </c>
      <c r="H110" s="4" t="s">
        <v>16</v>
      </c>
      <c r="I110" s="19">
        <f t="array" ref="I110">_xll.GetPrice("FP-LBR-0028","Actual","Low",_SPECIFICvarPubDate)</f>
        <v>1200</v>
      </c>
      <c r="J110" s="19">
        <f t="array" ref="J110">_xll.GetPrice("FP-LBR-0028","Actual","High",_SPECIFICvarPubDate)</f>
        <v>1375</v>
      </c>
      <c r="K110" s="2">
        <f t="array" ref="K110">_xll.GetPrice("FP-LBR-0090","Actual","Low",_SPECIFICvarPubDate)</f>
        <v>509</v>
      </c>
      <c r="L110" s="2">
        <f t="array" ref="L110">_xll.GetPrice("FP-LBR-0090","Actual","High",_SPECIFICvarPubDate)</f>
        <v>583</v>
      </c>
      <c r="O110" s="4" t="s">
        <v>17</v>
      </c>
      <c r="P110" s="19">
        <f t="array" ref="P110">_xll.GetPrice("FP-LBR-0044","Actual","Low",_SPECIFICvarPubDate)</f>
        <v>2650</v>
      </c>
      <c r="Q110" s="19">
        <f t="array" ref="Q110">_xll.GetPrice("FP-LBR-0044","Actual","High",_SPECIFICvarPubDate)</f>
        <v>2900</v>
      </c>
      <c r="R110" s="2">
        <f t="array" ref="R110">_xll.GetPrice("FP-LBR-0106","Actual","Low",_SPECIFICvarPubDate)</f>
        <v>1124</v>
      </c>
      <c r="S110" s="2">
        <f t="array" ref="S110">_xll.GetPrice("FP-LBR-0106","Actual","High",_SPECIFICvarPubDate)</f>
        <v>1230</v>
      </c>
    </row>
    <row r="111" spans="1:58" x14ac:dyDescent="0.2">
      <c r="A111" s="4" t="s">
        <v>18</v>
      </c>
      <c r="B111" s="19">
        <f t="array" ref="B111">_xll.GetPrice("FP-LBR-0024","Actual","Low",_SPECIFICvarPubDate)</f>
        <v>1005</v>
      </c>
      <c r="C111" s="19">
        <f t="array" ref="C111">_xll.GetPrice("FP-LBR-0024","Actual","High",_SPECIFICvarPubDate)</f>
        <v>1015</v>
      </c>
      <c r="D111" s="2">
        <f t="array" ref="D111">_xll.GetPrice("FP-LBR-0081","Actual","Low",_SPECIFICvarPubDate)</f>
        <v>426</v>
      </c>
      <c r="E111" s="2">
        <f t="array" ref="E111">_xll.GetPrice("FP-LBR-0081","Actual","High",_SPECIFICvarPubDate)</f>
        <v>430</v>
      </c>
      <c r="H111" s="4" t="s">
        <v>18</v>
      </c>
      <c r="I111" s="19">
        <f t="array" ref="I111">_xll.GetPrice("FP-LBR-0029","Actual","Low",_SPECIFICvarPubDate)</f>
        <v>1400</v>
      </c>
      <c r="J111" s="19">
        <f t="array" ref="J111">_xll.GetPrice("FP-LBR-0029","Actual","High",_SPECIFICvarPubDate)</f>
        <v>1450</v>
      </c>
      <c r="K111" s="2">
        <f t="array" ref="K111">_xll.GetPrice("FP-LBR-0091","Actual","Low",_SPECIFICvarPubDate)</f>
        <v>594</v>
      </c>
      <c r="L111" s="2">
        <f t="array" ref="L111">_xll.GetPrice("FP-LBR-0091","Actual","High",_SPECIFICvarPubDate)</f>
        <v>615</v>
      </c>
      <c r="Q111" s="4" t="s">
        <v>19</v>
      </c>
    </row>
    <row r="112" spans="1:58" x14ac:dyDescent="0.2">
      <c r="A112" s="4" t="s">
        <v>20</v>
      </c>
      <c r="B112" s="19">
        <f t="array" ref="B112">_xll.GetPrice("FP-LBR-0015","Actual","Low",_SPECIFICvarPubDate)</f>
        <v>925</v>
      </c>
      <c r="C112" s="19">
        <f t="array" ref="C112">_xll.GetPrice("FP-LBR-0015","Actual","High",_SPECIFICvarPubDate)</f>
        <v>935</v>
      </c>
      <c r="D112" s="2">
        <f t="array" ref="D112">_xll.GetPrice("FP-LBR-0082","Actual","Low",_SPECIFICvarPubDate)</f>
        <v>392</v>
      </c>
      <c r="E112" s="2">
        <f t="array" ref="E112">_xll.GetPrice("FP-LBR-0082","Actual","High",_SPECIFICvarPubDate)</f>
        <v>396</v>
      </c>
      <c r="H112" s="4" t="s">
        <v>21</v>
      </c>
      <c r="I112" s="19">
        <f t="array" ref="I112">_xll.GetPrice("FP-LBR-0030","Actual","Low",_SPECIFICvarPubDate)</f>
        <v>1225</v>
      </c>
      <c r="J112" s="19">
        <f t="array" ref="J112">_xll.GetPrice("FP-LBR-0030","Actual","High",_SPECIFICvarPubDate)</f>
        <v>1275</v>
      </c>
      <c r="K112" s="2">
        <f t="array" ref="K112">_xll.GetPrice("FP-LBR-0092","Actual","Low",_SPECIFICvarPubDate)</f>
        <v>519</v>
      </c>
      <c r="L112" s="2">
        <f t="array" ref="L112">_xll.GetPrice("FP-LBR-0092","Actual","High",_SPECIFICvarPubDate)</f>
        <v>541</v>
      </c>
      <c r="O112" s="4" t="s">
        <v>13</v>
      </c>
      <c r="P112" s="19">
        <f t="array" ref="P112">_xll.GetPrice("FP-LBR-0045","Actual","Low",_SPECIFICvarPubDate)</f>
        <v>1700</v>
      </c>
      <c r="Q112" s="19">
        <f t="array" ref="Q112">_xll.GetPrice("FP-LBR-0045","Actual","High",_SPECIFICvarPubDate)</f>
        <v>1880</v>
      </c>
      <c r="R112" s="2">
        <f t="array" ref="R112">_xll.GetPrice("FP-LBR-0107","Actual","Low",_SPECIFICvarPubDate)</f>
        <v>721</v>
      </c>
      <c r="S112" s="2">
        <f t="array" ref="S112">_xll.GetPrice("FP-LBR-0107","Actual","High",_SPECIFICvarPubDate)</f>
        <v>797</v>
      </c>
    </row>
    <row r="113" spans="1:19" x14ac:dyDescent="0.2">
      <c r="A113" s="4" t="s">
        <v>22</v>
      </c>
      <c r="B113" s="19">
        <f t="array" ref="B113">_xll.GetPrice("FP-LBR-0016","Actual","Low",_SPECIFICvarPubDate)</f>
        <v>715</v>
      </c>
      <c r="C113" s="19">
        <f t="array" ref="C113">_xll.GetPrice("FP-LBR-0016","Actual","High",_SPECIFICvarPubDate)</f>
        <v>725</v>
      </c>
      <c r="D113" s="2">
        <f t="array" ref="D113">_xll.GetPrice("FP-LBR-0083","Actual","Low",_SPECIFICvarPubDate)</f>
        <v>303</v>
      </c>
      <c r="E113" s="2">
        <f t="array" ref="E113">_xll.GetPrice("FP-LBR-0083","Actual","High",_SPECIFICvarPubDate)</f>
        <v>307</v>
      </c>
      <c r="H113" s="4" t="s">
        <v>23</v>
      </c>
      <c r="I113" s="19">
        <f t="array" ref="I113">_xll.GetPrice("FP-LBR-0031","Actual","Low",_SPECIFICvarPubDate)</f>
        <v>1225</v>
      </c>
      <c r="J113" s="19">
        <f t="array" ref="J113">_xll.GetPrice("FP-LBR-0031","Actual","High",_SPECIFICvarPubDate)</f>
        <v>1275</v>
      </c>
      <c r="K113" s="2">
        <f t="array" ref="K113">_xll.GetPrice("FP-LBR-0093","Actual","Low",_SPECIFICvarPubDate)</f>
        <v>519</v>
      </c>
      <c r="L113" s="2">
        <f t="array" ref="L113">_xll.GetPrice("FP-LBR-0093","Actual","High",_SPECIFICvarPubDate)</f>
        <v>541</v>
      </c>
      <c r="O113" s="4" t="s">
        <v>15</v>
      </c>
      <c r="P113" s="19">
        <f t="array" ref="P113">_xll.GetPrice("FP-LBR-0046","Actual","Low",_SPECIFICvarPubDate)</f>
        <v>1900</v>
      </c>
      <c r="Q113" s="19">
        <f t="array" ref="Q113">_xll.GetPrice("FP-LBR-0046","Actual","High",_SPECIFICvarPubDate)</f>
        <v>2160</v>
      </c>
      <c r="R113" s="2">
        <f t="array" ref="R113">_xll.GetPrice("FP-LBR-0108","Actual","Low",_SPECIFICvarPubDate)</f>
        <v>806</v>
      </c>
      <c r="S113" s="2">
        <f t="array" ref="S113">_xll.GetPrice("FP-LBR-0108","Actual","High",_SPECIFICvarPubDate)</f>
        <v>916</v>
      </c>
    </row>
    <row r="114" spans="1:19" x14ac:dyDescent="0.2">
      <c r="A114" s="4" t="s">
        <v>24</v>
      </c>
      <c r="B114" s="19">
        <f t="array" ref="B114">_xll.GetPrice("FP-LBR-0017","Actual","Low",_SPECIFICvarPubDate)</f>
        <v>775</v>
      </c>
      <c r="C114" s="19">
        <f t="array" ref="C114">_xll.GetPrice("FP-LBR-0017","Actual","High",_SPECIFICvarPubDate)</f>
        <v>785</v>
      </c>
      <c r="D114" s="2">
        <f t="array" ref="D114">_xll.GetPrice("FP-LBR-0084","Actual","Low",_SPECIFICvarPubDate)</f>
        <v>329</v>
      </c>
      <c r="E114" s="2">
        <f t="array" ref="E114">_xll.GetPrice("FP-LBR-0084","Actual","High",_SPECIFICvarPubDate)</f>
        <v>333</v>
      </c>
      <c r="H114" s="4" t="s">
        <v>25</v>
      </c>
      <c r="I114" s="19">
        <f t="array" ref="I114">_xll.GetPrice("FP-LBR-0032","Actual","Low",_SPECIFICvarPubDate)</f>
        <v>1230</v>
      </c>
      <c r="J114" s="19">
        <f t="array" ref="J114">_xll.GetPrice("FP-LBR-0032","Actual","High",_SPECIFICvarPubDate)</f>
        <v>1300</v>
      </c>
      <c r="K114" s="2">
        <f t="array" ref="K114">_xll.GetPrice("FP-LBR-0094","Actual","Low",_SPECIFICvarPubDate)</f>
        <v>522</v>
      </c>
      <c r="L114" s="2">
        <f t="array" ref="L114">_xll.GetPrice("FP-LBR-0094","Actual","High",_SPECIFICvarPubDate)</f>
        <v>551</v>
      </c>
      <c r="O114" s="4" t="s">
        <v>17</v>
      </c>
      <c r="P114" s="19">
        <f t="array" ref="P114">_xll.GetPrice("FP-LBR-0047","Actual","Low",_SPECIFICvarPubDate)</f>
        <v>1900</v>
      </c>
      <c r="Q114" s="19">
        <f t="array" ref="Q114">_xll.GetPrice("FP-LBR-0047","Actual","High",_SPECIFICvarPubDate)</f>
        <v>2160</v>
      </c>
      <c r="R114" s="2">
        <f t="array" ref="R114">_xll.GetPrice("FP-LBR-0109","Actual","Low",_SPECIFICvarPubDate)</f>
        <v>806</v>
      </c>
      <c r="S114" s="2">
        <f t="array" ref="S114">_xll.GetPrice("FP-LBR-0109","Actual","High",_SPECIFICvarPubDate)</f>
        <v>916</v>
      </c>
    </row>
    <row r="115" spans="1:19" x14ac:dyDescent="0.2">
      <c r="A115" s="4" t="s">
        <v>26</v>
      </c>
      <c r="B115" s="19">
        <f t="array" ref="B115">_xll.GetPrice("FP-LBR-0018","Actual","Low",_SPECIFICvarPubDate)</f>
        <v>685</v>
      </c>
      <c r="C115" s="19">
        <f t="array" ref="C115">_xll.GetPrice("FP-LBR-0018","Actual","High",_SPECIFICvarPubDate)</f>
        <v>695</v>
      </c>
      <c r="D115" s="2">
        <f t="array" ref="D115">_xll.GetPrice("FP-LBR-0085","Actual","Low",_SPECIFICvarPubDate)</f>
        <v>290</v>
      </c>
      <c r="E115" s="2">
        <f t="array" ref="E115">_xll.GetPrice("FP-LBR-0085","Actual","High",_SPECIFICvarPubDate)</f>
        <v>295</v>
      </c>
      <c r="H115" s="4" t="s">
        <v>27</v>
      </c>
      <c r="I115" s="19">
        <f t="array" ref="I115">_xll.GetPrice("FP-LBR-0033","Actual","Low",_SPECIFICvarPubDate)</f>
        <v>1230</v>
      </c>
      <c r="J115" s="19">
        <f t="array" ref="J115">_xll.GetPrice("FP-LBR-0033","Actual","High",_SPECIFICvarPubDate)</f>
        <v>1300</v>
      </c>
      <c r="K115" s="2">
        <f t="array" ref="K115">_xll.GetPrice("FP-LBR-0095","Actual","Low",_SPECIFICvarPubDate)</f>
        <v>522</v>
      </c>
      <c r="L115" s="2">
        <f t="array" ref="L115">_xll.GetPrice("FP-LBR-0095","Actual","High",_SPECIFICvarPubDate)</f>
        <v>551</v>
      </c>
    </row>
    <row r="116" spans="1:19" x14ac:dyDescent="0.2">
      <c r="A116" s="4" t="s">
        <v>28</v>
      </c>
      <c r="B116" s="19">
        <f t="array" ref="B116">_xll.GetPrice("FP-LBR-0019","Actual","Low",_SPECIFICvarPubDate)</f>
        <v>835</v>
      </c>
      <c r="C116" s="19">
        <f t="array" ref="C116">_xll.GetPrice("FP-LBR-0019","Actual","High",_SPECIFICvarPubDate)</f>
        <v>845</v>
      </c>
      <c r="D116" s="2">
        <f t="array" ref="D116">_xll.GetPrice("FP-LBR-0086","Actual","Low",_SPECIFICvarPubDate)</f>
        <v>354</v>
      </c>
      <c r="E116" s="2">
        <f t="array" ref="E116">_xll.GetPrice("FP-LBR-0086","Actual","High",_SPECIFICvarPubDate)</f>
        <v>358</v>
      </c>
      <c r="H116" s="4" t="s">
        <v>29</v>
      </c>
      <c r="I116" s="19">
        <f t="array" ref="I116">_xll.GetPrice("FP-LBR-0034","Actual","Low",_SPECIFICvarPubDate)</f>
        <v>1175</v>
      </c>
      <c r="J116" s="19">
        <f t="array" ref="J116">_xll.GetPrice("FP-LBR-0034","Actual","High",_SPECIFICvarPubDate)</f>
        <v>1400</v>
      </c>
      <c r="K116" s="2">
        <f t="array" ref="K116">_xll.GetPrice("FP-LBR-0096","Actual","Low",_SPECIFICvarPubDate)</f>
        <v>498</v>
      </c>
      <c r="L116" s="2">
        <f t="array" ref="L116">_xll.GetPrice("FP-LBR-0096","Actual","High",_SPECIFICvarPubDate)</f>
        <v>594</v>
      </c>
    </row>
    <row r="117" spans="1:19" x14ac:dyDescent="0.2">
      <c r="H117" s="4" t="s">
        <v>30</v>
      </c>
      <c r="I117" s="19">
        <f t="array" ref="I117">_xll.GetPrice("FP-LBR-0035","Actual","Low",_SPECIFICvarPubDate)</f>
        <v>1250</v>
      </c>
      <c r="J117" s="19">
        <f t="array" ref="J117">_xll.GetPrice("FP-LBR-0035","Actual","High",_SPECIFICvarPubDate)</f>
        <v>1325</v>
      </c>
      <c r="K117" s="2">
        <f t="array" ref="K117">_xll.GetPrice("FP-LBR-0097","Actual","Low",_SPECIFICvarPubDate)</f>
        <v>530</v>
      </c>
      <c r="L117" s="2">
        <f t="array" ref="L117">_xll.GetPrice("FP-LBR-0097","Actual","High",_SPECIFICvarPubDate)</f>
        <v>562</v>
      </c>
    </row>
    <row r="118" spans="1:19" x14ac:dyDescent="0.2">
      <c r="A118" s="3" t="s">
        <v>5</v>
      </c>
      <c r="H118" s="4" t="s">
        <v>31</v>
      </c>
      <c r="I118" s="19">
        <f t="array" ref="I118">_xll.GetPrice("FP-LBR-0036","Actual","Low",_SPECIFICvarPubDate)</f>
        <v>1350</v>
      </c>
      <c r="J118" s="19">
        <f t="array" ref="J118">_xll.GetPrice("FP-LBR-0036","Actual","High",_SPECIFICvarPubDate)</f>
        <v>1425</v>
      </c>
      <c r="K118" s="2">
        <f t="array" ref="K118">_xll.GetPrice("FP-LBR-0098","Actual","Low",_SPECIFICvarPubDate)</f>
        <v>572</v>
      </c>
      <c r="L118" s="2">
        <f t="array" ref="L118">_xll.GetPrice("FP-LBR-0098","Actual","High",_SPECIFICvarPubDate)</f>
        <v>604</v>
      </c>
      <c r="O118" s="7" t="s">
        <v>32</v>
      </c>
    </row>
    <row r="119" spans="1:19" x14ac:dyDescent="0.2">
      <c r="A119" s="7" t="s">
        <v>33</v>
      </c>
      <c r="H119" s="4" t="s">
        <v>34</v>
      </c>
      <c r="I119" s="19">
        <f t="array" ref="I119">_xll.GetPrice("FP-LBR-0037","Actual","Low",_SPECIFICvarPubDate)</f>
        <v>1400</v>
      </c>
      <c r="J119" s="19">
        <f t="array" ref="J119">_xll.GetPrice("FP-LBR-0037","Actual","High",_SPECIFICvarPubDate)</f>
        <v>1475</v>
      </c>
      <c r="K119" s="2">
        <f t="array" ref="K119">_xll.GetPrice("FP-LBR-0099","Actual","Low",_SPECIFICvarPubDate)</f>
        <v>594</v>
      </c>
      <c r="L119" s="2">
        <f t="array" ref="L119">_xll.GetPrice("FP-LBR-0099","Actual","High",_SPECIFICvarPubDate)</f>
        <v>625</v>
      </c>
      <c r="P119" s="14"/>
      <c r="Q119" s="10" t="s">
        <v>35</v>
      </c>
      <c r="R119" s="4"/>
      <c r="S119" s="14"/>
    </row>
    <row r="120" spans="1:19" x14ac:dyDescent="0.2">
      <c r="A120" s="29" t="s">
        <v>36</v>
      </c>
      <c r="B120" s="19">
        <f t="array" ref="B120">_xll.GetPrice("FP-LBR-0038","Actual","Low",_SPECIFICvarPubDate)</f>
        <v>1150</v>
      </c>
      <c r="C120" s="19">
        <f t="array" ref="C120">_xll.GetPrice("FP-LBR-0038","Actual","High",_SPECIFICvarPubDate)</f>
        <v>1325</v>
      </c>
      <c r="D120" s="2">
        <f t="array" ref="D120">_xll.GetPrice("FP-LBR-0100","Actual","Low",_SPECIFICvarPubDate)</f>
        <v>488</v>
      </c>
      <c r="E120" s="2">
        <f t="array" ref="E120">_xll.GetPrice("FP-LBR-0100","Actual","High",_SPECIFICvarPubDate)</f>
        <v>562</v>
      </c>
      <c r="H120" s="9"/>
      <c r="O120" s="4" t="s">
        <v>37</v>
      </c>
      <c r="P120" s="19">
        <f t="array" ref="P120">_xll.GetPrice("FP-LBR-0048","Actual","Low",_SPECIFICvarPubDate)</f>
        <v>810</v>
      </c>
      <c r="Q120" s="19">
        <f t="array" ref="Q120">_xll.GetPrice("FP-LBR-0048","Actual","High",_SPECIFICvarPubDate)</f>
        <v>830</v>
      </c>
      <c r="R120" s="2">
        <f t="array" ref="R120">_xll.GetPrice("FP-LBR-0110","Actual","Low",_SPECIFICvarPubDate)</f>
        <v>343</v>
      </c>
      <c r="S120" s="2">
        <f t="array" ref="S120">_xll.GetPrice("FP-LBR-0110","Actual","High",_SPECIFICvarPubDate)</f>
        <v>352</v>
      </c>
    </row>
    <row r="121" spans="1:19" x14ac:dyDescent="0.2">
      <c r="A121" s="29" t="s">
        <v>38</v>
      </c>
      <c r="B121" s="19">
        <f t="array" ref="B121">_xll.GetPrice("FP-LBR-0039","Actual","Low",_SPECIFICvarPubDate)</f>
        <v>1425</v>
      </c>
      <c r="C121" s="19">
        <f t="array" ref="C121">_xll.GetPrice("FP-LBR-0039","Actual","High",_SPECIFICvarPubDate)</f>
        <v>1475</v>
      </c>
      <c r="D121" s="2">
        <f t="array" ref="D121">_xll.GetPrice("FP-LBR-0101","Actual","Low",_SPECIFICvarPubDate)</f>
        <v>604</v>
      </c>
      <c r="E121" s="2">
        <f t="array" ref="E121">_xll.GetPrice("FP-LBR-0101","Actual","High",_SPECIFICvarPubDate)</f>
        <v>625</v>
      </c>
      <c r="O121" s="4" t="s">
        <v>39</v>
      </c>
      <c r="P121" s="19">
        <f t="array" ref="P121">_xll.GetPrice("FP-LBR-0049","Actual","Low",_SPECIFICvarPubDate)</f>
        <v>860</v>
      </c>
      <c r="Q121" s="19">
        <f t="array" ref="Q121">_xll.GetPrice("FP-LBR-0049","Actual","High",_SPECIFICvarPubDate)</f>
        <v>870</v>
      </c>
      <c r="R121" s="2">
        <f t="array" ref="R121">_xll.GetPrice("FP-LBR-0111","Actual","Low",_SPECIFICvarPubDate)</f>
        <v>365</v>
      </c>
      <c r="S121" s="2">
        <f t="array" ref="S121">_xll.GetPrice("FP-LBR-0111","Actual","High",_SPECIFICvarPubDate)</f>
        <v>369</v>
      </c>
    </row>
    <row r="122" spans="1:19" x14ac:dyDescent="0.2">
      <c r="A122" s="29" t="s">
        <v>40</v>
      </c>
      <c r="B122" s="19">
        <f t="array" ref="B122">_xll.GetPrice("FP-LBR-0040","Actual","Low",_SPECIFICvarPubDate)</f>
        <v>1425</v>
      </c>
      <c r="C122" s="19">
        <f t="array" ref="C122">_xll.GetPrice("FP-LBR-0040","Actual","High",_SPECIFICvarPubDate)</f>
        <v>1475</v>
      </c>
      <c r="D122" s="2">
        <f t="array" ref="D122">_xll.GetPrice("FP-LBR-0102","Actual","Low",_SPECIFICvarPubDate)</f>
        <v>604</v>
      </c>
      <c r="E122" s="2">
        <f t="array" ref="E122">_xll.GetPrice("FP-LBR-0102","Actual","High",_SPECIFICvarPubDate)</f>
        <v>625</v>
      </c>
      <c r="H122" s="3" t="s">
        <v>5</v>
      </c>
      <c r="O122" s="4" t="s">
        <v>41</v>
      </c>
      <c r="P122" s="19">
        <f t="array" ref="P122">_xll.GetPrice("FP-LBR-0050","Actual","Low",_SPECIFICvarPubDate)</f>
        <v>1010</v>
      </c>
      <c r="Q122" s="19">
        <f t="array" ref="Q122">_xll.GetPrice("FP-LBR-0050","Actual","High",_SPECIFICvarPubDate)</f>
        <v>1060</v>
      </c>
      <c r="R122" s="2">
        <f t="array" ref="R122">_xll.GetPrice("FP-LBR-0112","Actual","Low",_SPECIFICvarPubDate)</f>
        <v>428</v>
      </c>
      <c r="S122" s="2">
        <f t="array" ref="S122">_xll.GetPrice("FP-LBR-0112","Actual","High",_SPECIFICvarPubDate)</f>
        <v>449</v>
      </c>
    </row>
    <row r="123" spans="1:19" x14ac:dyDescent="0.2">
      <c r="H123" s="7" t="s">
        <v>42</v>
      </c>
      <c r="O123" s="4" t="s">
        <v>43</v>
      </c>
      <c r="P123" s="19">
        <f t="array" ref="P123">_xll.GetPrice("FP-LBR-0051","Actual","Low",_SPECIFICvarPubDate)</f>
        <v>1260</v>
      </c>
      <c r="Q123" s="19">
        <f t="array" ref="Q123">_xll.GetPrice("FP-LBR-0051","Actual","High",_SPECIFICvarPubDate)</f>
        <v>1350</v>
      </c>
      <c r="R123" s="2">
        <f t="array" ref="R123">_xll.GetPrice("FP-LBR-0113","Actual","Low",_SPECIFICvarPubDate)</f>
        <v>534</v>
      </c>
      <c r="S123" s="2">
        <f t="array" ref="S123">_xll.GetPrice("FP-LBR-0113","Actual","High",_SPECIFICvarPubDate)</f>
        <v>572</v>
      </c>
    </row>
    <row r="124" spans="1:19" x14ac:dyDescent="0.2">
      <c r="H124" s="4" t="s">
        <v>44</v>
      </c>
      <c r="I124" s="19">
        <f t="array" ref="I124">_xll.GetPrice("FP-LBR-0041","Actual","Low",_SPECIFICvarPubDate)</f>
        <v>950</v>
      </c>
      <c r="J124" s="19">
        <f t="array" ref="J124">_xll.GetPrice("FP-LBR-0041","Actual","High",_SPECIFICvarPubDate)</f>
        <v>1000</v>
      </c>
      <c r="K124" s="2">
        <f t="array" ref="K124">_xll.GetPrice("FP-LBR-0103","Actual","Low",_SPECIFICvarPubDate)</f>
        <v>403</v>
      </c>
      <c r="L124" s="2">
        <f t="array" ref="L124">_xll.GetPrice("FP-LBR-0103","Actual","High",_SPECIFICvarPubDate)</f>
        <v>424</v>
      </c>
      <c r="Q124" s="4" t="s">
        <v>45</v>
      </c>
      <c r="R124" s="4"/>
    </row>
    <row r="125" spans="1:19" x14ac:dyDescent="0.2">
      <c r="A125" s="3" t="s">
        <v>46</v>
      </c>
      <c r="O125" s="4" t="s">
        <v>43</v>
      </c>
      <c r="P125" s="19">
        <f t="array" ref="P125">_xll.GetPrice("FP-LBR-0052","Actual","Low",_SPECIFICvarPubDate)</f>
        <v>1535</v>
      </c>
      <c r="Q125" s="19">
        <f t="array" ref="Q125">_xll.GetPrice("FP-LBR-0052","Actual","High",_SPECIFICvarPubDate)</f>
        <v>1635</v>
      </c>
      <c r="R125" s="2">
        <f t="array" ref="R125">_xll.GetPrice("FP-LBR-0114","Actual","Low",_SPECIFICvarPubDate)</f>
        <v>651</v>
      </c>
      <c r="S125" s="2">
        <f t="array" ref="S125">_xll.GetPrice("FP-LBR-0114","Actual","High",_SPECIFICvarPubDate)</f>
        <v>693</v>
      </c>
    </row>
    <row r="126" spans="1:19" x14ac:dyDescent="0.2">
      <c r="A126" s="7" t="s">
        <v>47</v>
      </c>
      <c r="D126" s="7" t="s">
        <v>48</v>
      </c>
      <c r="E126" s="15"/>
      <c r="F126" s="15"/>
    </row>
    <row r="127" spans="1:19" x14ac:dyDescent="0.2">
      <c r="B127" s="4" t="s">
        <v>49</v>
      </c>
      <c r="E127" s="4" t="s">
        <v>49</v>
      </c>
      <c r="H127" s="7" t="s">
        <v>50</v>
      </c>
    </row>
    <row r="128" spans="1:19" x14ac:dyDescent="0.2">
      <c r="A128" s="4" t="s">
        <v>51</v>
      </c>
      <c r="B128" s="19">
        <f t="array" ref="B128">_xll.GetPrice("FP-PNL-0219","Actual","Low",_SPECIFICvarPubDate)</f>
        <v>445</v>
      </c>
      <c r="C128" s="2">
        <f t="array" ref="C128">_xll.GetPrice("FP-PNL-0019","Actual","Low",_SPECIFICvarPubDate)</f>
        <v>503</v>
      </c>
      <c r="D128" s="4" t="s">
        <v>51</v>
      </c>
      <c r="E128" s="19">
        <f t="array" ref="E128">_xll.GetPrice("FP-PNL-0153","Actual","Low",_SPECIFICvarPubDate)</f>
        <v>453</v>
      </c>
      <c r="F128" s="2">
        <f t="array" ref="F128">_xll.GetPrice("FP-PNL-0023","Actual","Low",_SPECIFICvarPubDate)</f>
        <v>523</v>
      </c>
      <c r="I128" s="7" t="s">
        <v>52</v>
      </c>
      <c r="J128" s="16"/>
      <c r="L128" s="7" t="s">
        <v>53</v>
      </c>
      <c r="M128" s="17"/>
    </row>
    <row r="129" spans="1:19" x14ac:dyDescent="0.2">
      <c r="A129" s="4" t="s">
        <v>54</v>
      </c>
      <c r="B129" s="19">
        <f t="array" ref="B129">_xll.GetPrice("FP-PNL-0221","Actual","Low",_SPECIFICvarPubDate)</f>
        <v>555</v>
      </c>
      <c r="C129" s="2">
        <f t="array" ref="C129">_xll.GetPrice("FP-PNL-0020","Actual","Low",_SPECIFICvarPubDate)</f>
        <v>470</v>
      </c>
      <c r="D129" s="4" t="s">
        <v>55</v>
      </c>
      <c r="E129" s="19">
        <f t="array" ref="E129">_xll.GetPrice("FP-PNL-0155","Actual","Low",_SPECIFICvarPubDate)</f>
        <v>595</v>
      </c>
      <c r="F129" s="2">
        <f t="array" ref="F129">_xll.GetPrice("FP-PNL-0024","Actual","Low",_SPECIFICvarPubDate)</f>
        <v>545</v>
      </c>
      <c r="H129" s="4" t="s">
        <v>56</v>
      </c>
      <c r="I129" s="19">
        <f t="array" ref="I129">_xll.GetPrice("FP-PNL-0028","Actual","Low",_SPECIFICvarPubDate)</f>
        <v>400</v>
      </c>
      <c r="J129" s="2">
        <f t="array" ref="J129">_xll.GetPrice("FP-PNL-0009","Actual","Low",_SPECIFICvarPubDate)</f>
        <v>387</v>
      </c>
      <c r="K129" s="4" t="s">
        <v>56</v>
      </c>
      <c r="L129" s="19">
        <f t="array" ref="L129">_xll.GetPrice("FP-PNL-0034","Actual","Low",_SPECIFICvarPubDate)</f>
        <v>360</v>
      </c>
      <c r="M129" s="2">
        <f t="array" ref="M129">_xll.GetPrice("FP-PNL-0011","Actual","Low",_SPECIFICvarPubDate)</f>
        <v>344</v>
      </c>
    </row>
    <row r="130" spans="1:19" x14ac:dyDescent="0.2">
      <c r="A130" s="4" t="s">
        <v>57</v>
      </c>
      <c r="B130" s="19">
        <f t="array" ref="B130">_xll.GetPrice("FP-PNL-0225","Actual","Low",_SPECIFICvarPubDate)</f>
        <v>885</v>
      </c>
      <c r="C130" s="2">
        <f t="array" ref="C130">_xll.GetPrice("FP-PNL-0021","Actual","Low",_SPECIFICvarPubDate)</f>
        <v>500</v>
      </c>
      <c r="D130" s="4" t="s">
        <v>58</v>
      </c>
      <c r="E130" s="19">
        <f t="array" ref="E130">_xll.GetPrice("FP-PNL-0157","Actual","Low",_SPECIFICvarPubDate)</f>
        <v>697</v>
      </c>
      <c r="F130" s="2">
        <f t="array" ref="F130">_xll.GetPrice("FP-PNL-0025","Actual","Low",_SPECIFICvarPubDate)</f>
        <v>425</v>
      </c>
      <c r="I130" s="7" t="s">
        <v>59</v>
      </c>
      <c r="J130" s="17"/>
      <c r="L130" s="7" t="s">
        <v>60</v>
      </c>
    </row>
    <row r="131" spans="1:19" x14ac:dyDescent="0.2">
      <c r="B131" s="4" t="s">
        <v>61</v>
      </c>
      <c r="E131" s="4" t="s">
        <v>61</v>
      </c>
      <c r="H131" s="4" t="s">
        <v>56</v>
      </c>
      <c r="I131" s="19">
        <f t="array" ref="I131">_xll.GetPrice("FP-PNL-0110","Actual","Low",_SPECIFICvarPubDate)</f>
        <v>415</v>
      </c>
      <c r="J131" s="2">
        <f t="array" ref="J131">_xll.GetPrice("FP-PNL-0010","Actual","Low",_SPECIFICvarPubDate)</f>
        <v>378</v>
      </c>
      <c r="K131" s="4" t="s">
        <v>56</v>
      </c>
      <c r="L131" s="19">
        <f t="array" ref="L131">_xll.GetPrice("FP-PNL-0116","Actual","Low",_SPECIFICvarPubDate)</f>
        <v>370</v>
      </c>
      <c r="M131" s="2">
        <f t="array" ref="M131">_xll.GetPrice("FP-PNL-0012","Actual","Low",_SPECIFICvarPubDate)</f>
        <v>348</v>
      </c>
    </row>
    <row r="132" spans="1:19" x14ac:dyDescent="0.2">
      <c r="A132" s="4" t="s">
        <v>58</v>
      </c>
      <c r="B132" s="19">
        <f t="array" ref="B132">_xll.GetPrice("FP-PNL-0264","Actual","Low",_SPECIFICvarPubDate)</f>
        <v>940</v>
      </c>
      <c r="C132" s="2">
        <f t="array" ref="C132">_xll.GetPrice("FP-PNL-0022","Actual","Low",_SPECIFICvarPubDate)</f>
        <v>553</v>
      </c>
      <c r="D132" s="4" t="s">
        <v>58</v>
      </c>
      <c r="E132" s="19">
        <f t="array" ref="E132">_xll.GetPrice("FP-PNL-0204","Actual","Low",_SPECIFICvarPubDate)</f>
        <v>1022</v>
      </c>
      <c r="F132" s="2">
        <f t="array" ref="F132">_xll.GetPrice("FP-PNL-0026","Actual","Low",_SPECIFICvarPubDate)</f>
        <v>607</v>
      </c>
    </row>
    <row r="133" spans="1:19" x14ac:dyDescent="0.2">
      <c r="A133" s="26" t="s">
        <v>62</v>
      </c>
      <c r="B133" s="4" t="s">
        <v>63</v>
      </c>
      <c r="C133" s="19">
        <f t="array" ref="C133">_xll.GetPrice("FP-PNL-0007","Actual","Low",_SPECIFICvarPubDate)</f>
        <v>60</v>
      </c>
      <c r="D133" s="4" t="s">
        <v>64</v>
      </c>
      <c r="E133" s="19">
        <f t="array" ref="E133">_xll.GetPrice("FP-PNL-0008","Actual","Low",_SPECIFICvarPubDate)</f>
        <v>20</v>
      </c>
    </row>
    <row r="138" spans="1:19" ht="15.75" x14ac:dyDescent="0.25">
      <c r="A138" s="13" t="s">
        <v>65</v>
      </c>
    </row>
    <row r="140" spans="1:19" x14ac:dyDescent="0.2">
      <c r="A140" s="7" t="s">
        <v>66</v>
      </c>
      <c r="H140" s="3" t="s">
        <v>67</v>
      </c>
      <c r="O140" s="3" t="s">
        <v>68</v>
      </c>
    </row>
    <row r="141" spans="1:19" x14ac:dyDescent="0.2">
      <c r="D141" s="4" t="s">
        <v>69</v>
      </c>
      <c r="H141" s="7" t="s">
        <v>70</v>
      </c>
      <c r="O141" s="7" t="s">
        <v>71</v>
      </c>
      <c r="P141" s="14"/>
      <c r="Q141" s="10" t="s">
        <v>72</v>
      </c>
      <c r="R141" s="14"/>
      <c r="S141" s="14"/>
    </row>
    <row r="142" spans="1:19" x14ac:dyDescent="0.2">
      <c r="A142" s="4" t="s">
        <v>73</v>
      </c>
      <c r="B142" s="19">
        <f t="array" ref="B142">_xll.GetPrice("FP-PNL-0001","Actual","Low",_SPECIFICvarPubDate)</f>
        <v>510</v>
      </c>
      <c r="C142" s="19">
        <f t="array" ref="C142">_xll.GetPrice("FP-PNL-0001","Actual","High",_SPECIFICvarPubDate)</f>
        <v>520</v>
      </c>
      <c r="D142" s="2">
        <f t="array" ref="D142">_xll.GetPrice("FP-PNL-0013","Actual","Low",_SPECIFICvarPubDate)</f>
        <v>576</v>
      </c>
      <c r="E142" s="2">
        <f t="array" ref="E142">_xll.GetPrice("FP-PNL-0013","Actual","High",_SPECIFICvarPubDate)</f>
        <v>588</v>
      </c>
      <c r="H142" s="4" t="s">
        <v>74</v>
      </c>
      <c r="I142" s="19">
        <f t="array" ref="I142">_xll.GetPrice("FP-LBR-0059","Actual","Low",_SPECIFICvarPubDate)</f>
        <v>975</v>
      </c>
      <c r="J142" s="19">
        <f t="array" ref="J142">_xll.GetPrice("FP-LBR-0059","Actual","High",_SPECIFICvarPubDate)</f>
        <v>1005</v>
      </c>
      <c r="K142" s="2">
        <f t="array" ref="K142">_xll.GetPrice("FP-LBR-0121","Actual","Low",_SPECIFICvarPubDate)</f>
        <v>413</v>
      </c>
      <c r="L142" s="2">
        <f t="array" ref="L142">_xll.GetPrice("FP-LBR-0121","Actual","High",_SPECIFICvarPubDate)</f>
        <v>426</v>
      </c>
      <c r="O142" s="4" t="s">
        <v>20</v>
      </c>
      <c r="P142" s="24">
        <f t="array" ref="P142">_xll.GetPrice("FP-LBR-0072","Actual","Low",_SPECIFICvarPubDate)</f>
        <v>3000</v>
      </c>
      <c r="Q142" s="19">
        <f t="array" ref="Q142">_xll.GetPrice("FP-LBR-0072","Actual","High",_SPECIFICvarPubDate)</f>
        <v>3125</v>
      </c>
      <c r="R142" s="1">
        <f t="array" ref="R142">_xll.GetPrice("FP-LBR-0131","Actual","Low",_SPECIFICvarPubDate)</f>
        <v>1272</v>
      </c>
      <c r="S142" s="2">
        <f t="array" ref="S142">_xll.GetPrice("FP-LBR-0131","Actual","High",_SPECIFICvarPubDate)</f>
        <v>1325</v>
      </c>
    </row>
    <row r="143" spans="1:19" x14ac:dyDescent="0.2">
      <c r="A143" s="4" t="s">
        <v>75</v>
      </c>
      <c r="B143" s="19">
        <f t="array" ref="B143">_xll.GetPrice("FP-PNL-0002","Actual","Low",_SPECIFICvarPubDate)</f>
        <v>540</v>
      </c>
      <c r="C143" s="19">
        <f t="array" ref="C143">_xll.GetPrice("FP-PNL-0002","Actual","High",_SPECIFICvarPubDate)</f>
        <v>550</v>
      </c>
      <c r="D143" s="2">
        <f t="array" ref="D143">_xll.GetPrice("FP-PNL-0014","Actual","Low",_SPECIFICvarPubDate)</f>
        <v>644</v>
      </c>
      <c r="E143" s="2">
        <f t="array" ref="E143">_xll.GetPrice("FP-PNL-0014","Actual","High",_SPECIFICvarPubDate)</f>
        <v>656</v>
      </c>
      <c r="H143" s="4" t="s">
        <v>76</v>
      </c>
      <c r="I143" s="19">
        <f t="array" ref="I143">_xll.GetPrice("FP-LBR-0060","Actual","Low",_SPECIFICvarPubDate)</f>
        <v>975</v>
      </c>
      <c r="J143" s="19">
        <f t="array" ref="J143">_xll.GetPrice("FP-LBR-0060","Actual","High",_SPECIFICvarPubDate)</f>
        <v>1005</v>
      </c>
      <c r="K143" s="2">
        <f t="array" ref="K143">_xll.GetPrice("FP-LBR-0122","Actual","Low",_SPECIFICvarPubDate)</f>
        <v>413</v>
      </c>
      <c r="L143" s="2">
        <f t="array" ref="L143">_xll.GetPrice("FP-LBR-0122","Actual","High",_SPECIFICvarPubDate)</f>
        <v>426</v>
      </c>
      <c r="O143" s="4" t="s">
        <v>22</v>
      </c>
      <c r="P143" s="19">
        <f t="array" ref="P143">_xll.GetPrice("FP-LBR-0073","Actual","Low",_SPECIFICvarPubDate)</f>
        <v>3225</v>
      </c>
      <c r="Q143" s="19">
        <f t="array" ref="Q143">_xll.GetPrice("FP-LBR-0073","Actual","High",_SPECIFICvarPubDate)</f>
        <v>3350</v>
      </c>
      <c r="R143" s="2">
        <f t="array" ref="R143">_xll.GetPrice("FP-LBR-0132","Actual","Low",_SPECIFICvarPubDate)</f>
        <v>1367</v>
      </c>
      <c r="S143" s="2">
        <f t="array" ref="S143">_xll.GetPrice("FP-LBR-0132","Actual","High",_SPECIFICvarPubDate)</f>
        <v>1420</v>
      </c>
    </row>
    <row r="144" spans="1:19" x14ac:dyDescent="0.2">
      <c r="D144" s="4" t="s">
        <v>77</v>
      </c>
      <c r="O144" s="4" t="s">
        <v>78</v>
      </c>
      <c r="P144" s="19">
        <f t="array" ref="P144">_xll.GetPrice("FP-LBR-0074","Actual","Low",_SPECIFICvarPubDate)</f>
        <v>3150</v>
      </c>
      <c r="Q144" s="19">
        <f t="array" ref="Q144">_xll.GetPrice("FP-LBR-0074","Actual","High",_SPECIFICvarPubDate)</f>
        <v>3300</v>
      </c>
      <c r="R144" s="2">
        <f t="array" ref="R144">_xll.GetPrice("FP-LBR-0133","Actual","Low",_SPECIFICvarPubDate)</f>
        <v>1336</v>
      </c>
      <c r="S144" s="2">
        <f t="array" ref="S144">_xll.GetPrice("FP-LBR-0133","Actual","High",_SPECIFICvarPubDate)</f>
        <v>1399</v>
      </c>
    </row>
    <row r="145" spans="1:19" x14ac:dyDescent="0.2">
      <c r="A145" s="4" t="s">
        <v>75</v>
      </c>
      <c r="B145" s="19">
        <f t="array" ref="B145">_xll.GetPrice("FP-PNL-0003","Actual","Low",_SPECIFICvarPubDate)</f>
        <v>540</v>
      </c>
      <c r="C145" s="19">
        <f t="array" ref="C145">_xll.GetPrice("FP-PNL-0003","Actual","High",_SPECIFICvarPubDate)</f>
        <v>545</v>
      </c>
      <c r="D145" s="2">
        <f t="array" ref="D145">_xll.GetPrice("FP-PNL-0015","Actual","Low",_SPECIFICvarPubDate)</f>
        <v>644</v>
      </c>
      <c r="E145" s="2">
        <f t="array" ref="E145">_xll.GetPrice("FP-PNL-0015","Actual","High",_SPECIFICvarPubDate)</f>
        <v>650</v>
      </c>
      <c r="H145" s="3" t="s">
        <v>79</v>
      </c>
      <c r="O145" s="4" t="s">
        <v>15</v>
      </c>
      <c r="P145" s="19">
        <f t="array" ref="P145">_xll.GetPrice("FP-LBR-0075","Actual","Low",_SPECIFICvarPubDate)</f>
        <v>3350</v>
      </c>
      <c r="Q145" s="19">
        <f t="array" ref="Q145">_xll.GetPrice("FP-LBR-0075","Actual","High",_SPECIFICvarPubDate)</f>
        <v>3550</v>
      </c>
      <c r="R145" s="2">
        <f t="array" ref="R145">_xll.GetPrice("FP-LBR-0134","Actual","Low",_SPECIFICvarPubDate)</f>
        <v>1420</v>
      </c>
      <c r="S145" s="2">
        <f t="array" ref="S145">_xll.GetPrice("FP-LBR-0134","Actual","High",_SPECIFICvarPubDate)</f>
        <v>1505</v>
      </c>
    </row>
    <row r="146" spans="1:19" x14ac:dyDescent="0.2">
      <c r="A146" s="4" t="s">
        <v>80</v>
      </c>
      <c r="B146" s="19">
        <f t="array" ref="B146">_xll.GetPrice("FP-PNL-0004","Actual","Low",_SPECIFICvarPubDate)</f>
        <v>640</v>
      </c>
      <c r="C146" s="19">
        <f t="array" ref="C146">_xll.GetPrice("FP-PNL-0004","Actual","High",_SPECIFICvarPubDate)</f>
        <v>650</v>
      </c>
      <c r="D146" s="2">
        <f t="array" ref="D146">_xll.GetPrice("FP-PNL-0016","Actual","Low",_SPECIFICvarPubDate)</f>
        <v>573</v>
      </c>
      <c r="E146" s="2">
        <f t="array" ref="E146">_xll.GetPrice("FP-PNL-0016","Actual","High",_SPECIFICvarPubDate)</f>
        <v>582</v>
      </c>
      <c r="H146" s="4" t="s">
        <v>81</v>
      </c>
      <c r="I146" s="19">
        <f t="array" ref="I146">_xll.GetPrice("FP-LBR-0061","Actual","Low",_SPECIFICvarPubDate)</f>
        <v>1135</v>
      </c>
      <c r="J146" s="19">
        <f t="array" ref="J146">_xll.GetPrice("FP-LBR-0061","Actual","High",_SPECIFICvarPubDate)</f>
        <v>1170</v>
      </c>
      <c r="K146" s="2">
        <f t="array" ref="K146">_xll.GetPrice("FP-LBR-0123","Actual","Low",_SPECIFICvarPubDate)</f>
        <v>481</v>
      </c>
      <c r="L146" s="2">
        <f t="array" ref="L146">_xll.GetPrice("FP-LBR-0123","Actual","High",_SPECIFICvarPubDate)</f>
        <v>496</v>
      </c>
      <c r="O146" s="4" t="s">
        <v>17</v>
      </c>
      <c r="P146" s="19">
        <f t="array" ref="P146">_xll.GetPrice("FP-LBR-0076","Actual","Low",_SPECIFICvarPubDate)</f>
        <v>3350</v>
      </c>
      <c r="Q146" s="19">
        <f t="array" ref="Q146">_xll.GetPrice("FP-LBR-0076","Actual","High",_SPECIFICvarPubDate)</f>
        <v>3550</v>
      </c>
      <c r="R146" s="2">
        <f t="array" ref="R146">_xll.GetPrice("FP-LBR-0135","Actual","Low",_SPECIFICvarPubDate)</f>
        <v>1420</v>
      </c>
      <c r="S146" s="2">
        <f t="array" ref="S146">_xll.GetPrice("FP-LBR-0135","Actual","High",_SPECIFICvarPubDate)</f>
        <v>1505</v>
      </c>
    </row>
    <row r="147" spans="1:19" x14ac:dyDescent="0.2">
      <c r="A147" s="7"/>
      <c r="C147" s="14"/>
      <c r="D147" s="4" t="s">
        <v>82</v>
      </c>
      <c r="E147" s="14"/>
    </row>
    <row r="148" spans="1:19" x14ac:dyDescent="0.2">
      <c r="A148" s="4" t="s">
        <v>75</v>
      </c>
      <c r="B148" s="19">
        <f t="array" ref="B148">_xll.GetPrice("FP-PNL-0005","Actual","Low",_SPECIFICvarPubDate)</f>
        <v>500</v>
      </c>
      <c r="C148" s="19">
        <f t="array" ref="C148">_xll.GetPrice("FP-PNL-0005","Actual","High",_SPECIFICvarPubDate)</f>
        <v>510</v>
      </c>
      <c r="D148" s="2">
        <f t="array" ref="D148">_xll.GetPrice("FP-PNL-0017","Actual","Low",_SPECIFICvarPubDate)</f>
        <v>596</v>
      </c>
      <c r="E148" s="2">
        <f t="array" ref="E148">_xll.GetPrice("FP-PNL-0017","Actual","High",_SPECIFICvarPubDate)</f>
        <v>608</v>
      </c>
      <c r="F148" s="18"/>
      <c r="O148" s="17" t="s">
        <v>83</v>
      </c>
      <c r="P148" s="14"/>
      <c r="Q148" s="10" t="s">
        <v>84</v>
      </c>
      <c r="R148" s="14"/>
      <c r="S148" s="14"/>
    </row>
    <row r="149" spans="1:19" x14ac:dyDescent="0.2">
      <c r="H149" s="7" t="s">
        <v>85</v>
      </c>
      <c r="O149" s="4" t="s">
        <v>86</v>
      </c>
      <c r="P149" s="24">
        <f t="array" ref="P149">_xll.GetPrice("FP-LBR-0069","Actual","Low",_SPECIFICvarPubDate)</f>
        <v>5800</v>
      </c>
      <c r="Q149" s="19">
        <f t="array" ref="Q149">_xll.GetPrice("FP-LBR-0069","Actual","High",_SPECIFICvarPubDate)</f>
        <v>5950</v>
      </c>
      <c r="R149" s="1">
        <f t="array" ref="R149">_xll.GetPrice("FP-LBR-0136","Actual","Low",_SPECIFICvarPubDate)</f>
        <v>2459</v>
      </c>
      <c r="S149" s="2">
        <f t="array" ref="S149">_xll.GetPrice("FP-LBR-0136","Actual","High",_SPECIFICvarPubDate)</f>
        <v>2523</v>
      </c>
    </row>
    <row r="150" spans="1:19" x14ac:dyDescent="0.2">
      <c r="H150" s="4" t="s">
        <v>87</v>
      </c>
      <c r="I150" s="2">
        <f t="array" ref="I150">_xll.GetPrice("FP-LBR-0124","Actual","Low",_SPECIFICvarPubDate)</f>
        <v>364</v>
      </c>
      <c r="J150" s="2">
        <f t="array" ref="J150">_xll.GetPrice("FP-LBR-0124","Actual","High",_SPECIFICvarPubDate)</f>
        <v>379</v>
      </c>
      <c r="K150" s="19">
        <f t="array" ref="K150">_xll.GetPrice("FP-LBR-0062","Actual","Low",_SPECIFICvarPubDate)</f>
        <v>235</v>
      </c>
      <c r="L150" s="19">
        <f t="array" ref="L150">_xll.GetPrice("FP-LBR-0062","Actual","High",_SPECIFICvarPubDate)</f>
        <v>245</v>
      </c>
      <c r="O150" s="4" t="s">
        <v>88</v>
      </c>
      <c r="P150" s="19">
        <f t="array" ref="P150">_xll.GetPrice("FP-LBR-0070","Actual","Low",_SPECIFICvarPubDate)</f>
        <v>8250</v>
      </c>
      <c r="Q150" s="19">
        <f t="array" ref="Q150">_xll.GetPrice("FP-LBR-0070","Actual","High",_SPECIFICvarPubDate)</f>
        <v>8500</v>
      </c>
      <c r="R150" s="2">
        <f t="array" ref="R150">_xll.GetPrice("FP-LBR-0137","Actual","Low",_SPECIFICvarPubDate)</f>
        <v>3498</v>
      </c>
      <c r="S150" s="2">
        <f t="array" ref="S150">_xll.GetPrice("FP-LBR-0137","Actual","High",_SPECIFICvarPubDate)</f>
        <v>3604</v>
      </c>
    </row>
    <row r="151" spans="1:19" x14ac:dyDescent="0.2">
      <c r="A151" s="3" t="s">
        <v>89</v>
      </c>
      <c r="F151" s="18"/>
      <c r="H151" s="4" t="s">
        <v>90</v>
      </c>
      <c r="I151" s="2">
        <f t="array" ref="I151">_xll.GetPrice("FP-LBR-0125","Actual","Low",_SPECIFICvarPubDate)</f>
        <v>248</v>
      </c>
      <c r="J151" s="2">
        <f t="array" ref="J151">_xll.GetPrice("FP-LBR-0125","Actual","High",_SPECIFICvarPubDate)</f>
        <v>255</v>
      </c>
      <c r="K151" s="19">
        <f t="array" ref="K151">_xll.GetPrice("FP-LBR-0063","Actual","Low",_SPECIFICvarPubDate)</f>
        <v>160</v>
      </c>
      <c r="L151" s="19">
        <f t="array" ref="L151">_xll.GetPrice("FP-LBR-0063","Actual","High",_SPECIFICvarPubDate)</f>
        <v>165</v>
      </c>
      <c r="O151" s="4" t="s">
        <v>17</v>
      </c>
      <c r="P151" s="19">
        <f t="array" ref="P151">_xll.GetPrice("FP-LBR-0071","Actual","Low",_SPECIFICvarPubDate)</f>
        <v>8550</v>
      </c>
      <c r="Q151" s="19">
        <f t="array" ref="Q151">_xll.GetPrice("FP-LBR-0071","Actual","High",_SPECIFICvarPubDate)</f>
        <v>8950</v>
      </c>
      <c r="R151" s="2">
        <f t="array" ref="R151">_xll.GetPrice("FP-LBR-0138","Actual","Low",_SPECIFICvarPubDate)</f>
        <v>3625</v>
      </c>
      <c r="S151" s="2">
        <f t="array" ref="S151">_xll.GetPrice("FP-LBR-0138","Actual","High",_SPECIFICvarPubDate)</f>
        <v>3795</v>
      </c>
    </row>
    <row r="152" spans="1:19" x14ac:dyDescent="0.2">
      <c r="A152" s="7" t="s">
        <v>91</v>
      </c>
      <c r="H152" s="4" t="s">
        <v>92</v>
      </c>
      <c r="I152" s="2">
        <f t="array" ref="I152">_xll.GetPrice("FP-LBR-0126","Actual","Low",_SPECIFICvarPubDate)</f>
        <v>203</v>
      </c>
      <c r="J152" s="2">
        <f t="array" ref="J152">_xll.GetPrice("FP-LBR-0126","Actual","High",_SPECIFICvarPubDate)</f>
        <v>219</v>
      </c>
      <c r="K152" s="19">
        <f t="array" ref="K152">_xll.GetPrice("FP-LBR-0064","Actual","Low",_SPECIFICvarPubDate)</f>
        <v>125</v>
      </c>
      <c r="L152" s="19">
        <f t="array" ref="L152">_xll.GetPrice("FP-LBR-0064","Actual","High",_SPECIFICvarPubDate)</f>
        <v>135</v>
      </c>
    </row>
    <row r="153" spans="1:19" x14ac:dyDescent="0.2">
      <c r="A153" s="4" t="s">
        <v>93</v>
      </c>
      <c r="B153" s="19">
        <f t="array" ref="B153">_xll.GetPrice("FP-LBR-0053","Actual","Low",_SPECIFICvarPubDate)</f>
        <v>560</v>
      </c>
      <c r="C153" s="19">
        <f t="array" ref="C153">_xll.GetPrice("FP-LBR-0053","Actual","High",_SPECIFICvarPubDate)</f>
        <v>570</v>
      </c>
      <c r="D153" s="2">
        <f t="array" ref="D153">_xll.GetPrice("FP-LBR-0115","Actual","Low",_SPECIFICvarPubDate)</f>
        <v>362</v>
      </c>
      <c r="E153" s="2">
        <f t="array" ref="E153">_xll.GetPrice("FP-LBR-0115","Actual","High",_SPECIFICvarPubDate)</f>
        <v>368</v>
      </c>
      <c r="H153" s="4" t="s">
        <v>94</v>
      </c>
      <c r="I153" s="2">
        <f t="array" ref="I153">_xll.GetPrice("FP-LBR-0127","Actual","Low",_SPECIFICvarPubDate)</f>
        <v>217</v>
      </c>
      <c r="J153" s="2">
        <f t="array" ref="J153">_xll.GetPrice("FP-LBR-0127","Actual","High",_SPECIFICvarPubDate)</f>
        <v>232</v>
      </c>
      <c r="K153" s="19">
        <f t="array" ref="K153">_xll.GetPrice("FP-LBR-0065","Actual","Low",_SPECIFICvarPubDate)</f>
        <v>140</v>
      </c>
      <c r="L153" s="19">
        <f t="array" ref="L153">_xll.GetPrice("FP-LBR-0065","Actual","High",_SPECIFICvarPubDate)</f>
        <v>150</v>
      </c>
    </row>
    <row r="154" spans="1:19" x14ac:dyDescent="0.2">
      <c r="A154" s="4" t="s">
        <v>95</v>
      </c>
      <c r="B154" s="19">
        <f t="array" ref="B154">_xll.GetPrice("FP-LBR-0054","Actual","Low",_SPECIFICvarPubDate)</f>
        <v>660</v>
      </c>
      <c r="C154" s="19">
        <f t="array" ref="C154">_xll.GetPrice("FP-LBR-0054","Actual","High",_SPECIFICvarPubDate)</f>
        <v>670</v>
      </c>
      <c r="D154" s="2">
        <f t="array" ref="D154">_xll.GetPrice("FP-LBR-0116","Actual","Low",_SPECIFICvarPubDate)</f>
        <v>403</v>
      </c>
      <c r="E154" s="2">
        <f t="array" ref="E154">_xll.GetPrice("FP-LBR-0116","Actual","High",_SPECIFICvarPubDate)</f>
        <v>409</v>
      </c>
      <c r="H154" s="4" t="s">
        <v>96</v>
      </c>
      <c r="I154" s="2">
        <f t="array" ref="I154">_xll.GetPrice("FP-LBR-0128","Actual","Low",_SPECIFICvarPubDate)</f>
        <v>154</v>
      </c>
      <c r="J154" s="2">
        <f t="array" ref="J154">_xll.GetPrice("FP-LBR-0128","Actual","High",_SPECIFICvarPubDate)</f>
        <v>211</v>
      </c>
      <c r="K154" s="19">
        <f t="array" ref="K154">_xll.GetPrice("FP-LBR-0066","Actual","Low",_SPECIFICvarPubDate)</f>
        <v>95</v>
      </c>
      <c r="L154" s="19">
        <f t="array" ref="L154">_xll.GetPrice("FP-LBR-0066","Actual","High",_SPECIFICvarPubDate)</f>
        <v>130</v>
      </c>
      <c r="O154" s="7" t="s">
        <v>97</v>
      </c>
    </row>
    <row r="155" spans="1:19" x14ac:dyDescent="0.2">
      <c r="A155" s="4" t="s">
        <v>98</v>
      </c>
      <c r="B155" s="19">
        <f t="array" ref="B155">_xll.GetPrice("FP-LBR-0055","Actual","Low",_SPECIFICvarPubDate)</f>
        <v>590</v>
      </c>
      <c r="C155" s="19">
        <f t="array" ref="C155">_xll.GetPrice("FP-LBR-0055","Actual","High",_SPECIFICvarPubDate)</f>
        <v>700</v>
      </c>
      <c r="D155" s="2">
        <f t="array" ref="D155">_xll.GetPrice("FP-LBR-0117","Actual","Low",_SPECIFICvarPubDate)</f>
        <v>381</v>
      </c>
      <c r="E155" s="2">
        <f t="array" ref="E155">_xll.GetPrice("FP-LBR-0117","Actual","High",_SPECIFICvarPubDate)</f>
        <v>452</v>
      </c>
      <c r="P155" s="8"/>
    </row>
    <row r="156" spans="1:19" x14ac:dyDescent="0.2">
      <c r="O156" s="4" t="s">
        <v>99</v>
      </c>
      <c r="P156" s="19">
        <f t="array" ref="P156">_xll.GetPrice("FP-LBR-0144","Actual","Low",_SPECIFICvarPubDate)</f>
        <v>910</v>
      </c>
      <c r="Q156" s="2">
        <f t="array" ref="Q156">_xll.GetPrice("FP-LBR-0139","Actual","Low",_SPECIFICvarPubDate)</f>
        <v>588</v>
      </c>
    </row>
    <row r="157" spans="1:19" x14ac:dyDescent="0.2">
      <c r="H157" s="7" t="s">
        <v>100</v>
      </c>
      <c r="O157" s="4" t="s">
        <v>101</v>
      </c>
      <c r="P157" s="19">
        <f t="array" ref="P157">_xll.GetPrice("FP-LBR-0145","Actual","Low",_SPECIFICvarPubDate)</f>
        <v>995</v>
      </c>
      <c r="Q157" s="2">
        <f t="array" ref="Q157">_xll.GetPrice("FP-LBR-0140","Actual","Low",_SPECIFICvarPubDate)</f>
        <v>614</v>
      </c>
    </row>
    <row r="158" spans="1:19" x14ac:dyDescent="0.2">
      <c r="A158" s="3" t="s">
        <v>102</v>
      </c>
      <c r="H158" s="4" t="s">
        <v>103</v>
      </c>
      <c r="I158" s="19">
        <f t="array" ref="I158">_xll.GetPrice("FP-LBR-0067","Actual","Low",_SPECIFICvarPubDate)</f>
        <v>600</v>
      </c>
      <c r="J158" s="19">
        <f t="array" ref="J158">_xll.GetPrice("FP-LBR-0067","Actual","High",_SPECIFICvarPubDate)</f>
        <v>625</v>
      </c>
      <c r="K158" s="2">
        <f t="array" ref="K158">_xll.GetPrice("FP-LBR-0129","Actual","Low",_SPECIFICvarPubDate)</f>
        <v>347</v>
      </c>
      <c r="L158" s="2">
        <f t="array" ref="L158">_xll.GetPrice("FP-LBR-0129","Actual","High",_SPECIFICvarPubDate)</f>
        <v>361</v>
      </c>
      <c r="O158" s="4" t="s">
        <v>104</v>
      </c>
      <c r="P158" s="19">
        <f t="array" ref="P158">_xll.GetPrice("FP-LBR-0146","Actual","Low",_SPECIFICvarPubDate)</f>
        <v>1185</v>
      </c>
      <c r="Q158" s="2">
        <f t="array" ref="Q158">_xll.GetPrice("FP-LBR-0141","Actual","Low",_SPECIFICvarPubDate)</f>
        <v>739</v>
      </c>
    </row>
    <row r="159" spans="1:19" x14ac:dyDescent="0.2">
      <c r="A159" s="7" t="s">
        <v>79</v>
      </c>
      <c r="H159" s="4" t="s">
        <v>105</v>
      </c>
      <c r="I159" s="19">
        <f t="array" ref="I159">_xll.GetPrice("FP-LBR-0068","Actual","Low",_SPECIFICvarPubDate)</f>
        <v>1010</v>
      </c>
      <c r="J159" s="19">
        <f t="array" ref="J159">_xll.GetPrice("FP-LBR-0068","Actual","High",_SPECIFICvarPubDate)</f>
        <v>1060</v>
      </c>
      <c r="K159" s="2">
        <f t="array" ref="K159">_xll.GetPrice("FP-LBR-0130","Actual","Low",_SPECIFICvarPubDate)</f>
        <v>584</v>
      </c>
      <c r="L159" s="2">
        <f t="array" ref="L159">_xll.GetPrice("FP-LBR-0130","Actual","High",_SPECIFICvarPubDate)</f>
        <v>613</v>
      </c>
      <c r="O159" s="4" t="s">
        <v>106</v>
      </c>
      <c r="P159" s="19">
        <f t="array" ref="P159">_xll.GetPrice("FP-LBR-0147","Actual","Low",_SPECIFICvarPubDate)</f>
        <v>1320</v>
      </c>
      <c r="Q159" s="2">
        <f t="array" ref="Q159">_xll.GetPrice("FP-LBR-0142","Actual","Low",_SPECIFICvarPubDate)</f>
        <v>807</v>
      </c>
    </row>
    <row r="160" spans="1:19" x14ac:dyDescent="0.2">
      <c r="A160" s="4" t="s">
        <v>107</v>
      </c>
      <c r="B160" s="19">
        <f t="array" ref="B160">_xll.GetPrice("FP-LBR-0056","Actual","Low",_SPECIFICvarPubDate)</f>
        <v>1125</v>
      </c>
      <c r="C160" s="19">
        <f t="array" ref="C160">_xll.GetPrice("FP-LBR-0056","Actual","High",_SPECIFICvarPubDate)</f>
        <v>1150</v>
      </c>
      <c r="D160" s="2">
        <f t="array" ref="D160">_xll.GetPrice("FP-LBR-0118","Actual","Low",_SPECIFICvarPubDate)</f>
        <v>477</v>
      </c>
      <c r="E160" s="2">
        <f t="array" ref="E160">_xll.GetPrice("FP-LBR-0118","Actual","High",_SPECIFICvarPubDate)</f>
        <v>488</v>
      </c>
      <c r="O160" s="4" t="s">
        <v>108</v>
      </c>
      <c r="P160" s="19">
        <f t="array" ref="P160">_xll.GetPrice("FP-LBR-0148","Actual","Low",_SPECIFICvarPubDate)</f>
        <v>1475</v>
      </c>
      <c r="Q160" s="2">
        <f t="array" ref="Q160">_xll.GetPrice("FP-LBR-0143","Actual","Low",_SPECIFICvarPubDate)</f>
        <v>889</v>
      </c>
    </row>
    <row r="161" spans="1:17" x14ac:dyDescent="0.2">
      <c r="A161" s="4" t="s">
        <v>109</v>
      </c>
      <c r="B161" s="19">
        <f t="array" ref="B161">_xll.GetPrice("FP-LBR-0057","Actual","Low",_SPECIFICvarPubDate)</f>
        <v>1125</v>
      </c>
      <c r="C161" s="19">
        <f t="array" ref="C161">_xll.GetPrice("FP-LBR-0057","Actual","High",_SPECIFICvarPubDate)</f>
        <v>1150</v>
      </c>
      <c r="D161" s="2">
        <f t="array" ref="D161">_xll.GetPrice("FP-LBR-0119","Actual","Low",_SPECIFICvarPubDate)</f>
        <v>477</v>
      </c>
      <c r="E161" s="2">
        <f t="array" ref="E161">_xll.GetPrice("FP-LBR-0119","Actual","High",_SPECIFICvarPubDate)</f>
        <v>488</v>
      </c>
    </row>
    <row r="163" spans="1:17" x14ac:dyDescent="0.2">
      <c r="O163" s="7" t="s">
        <v>110</v>
      </c>
    </row>
    <row r="164" spans="1:17" x14ac:dyDescent="0.2">
      <c r="A164" s="3" t="s">
        <v>111</v>
      </c>
      <c r="O164" s="4" t="s">
        <v>112</v>
      </c>
      <c r="P164" s="19">
        <f t="array" ref="P164">_xll.GetPrice("FP-PNL-0006","Actual","Low",_SPECIFICvarPubDate)</f>
        <v>560</v>
      </c>
      <c r="Q164" s="2">
        <f t="array" ref="Q164">_xll.GetPrice("FP-PNL-0018","Actual","Low",_SPECIFICvarPubDate)</f>
        <v>329</v>
      </c>
    </row>
    <row r="165" spans="1:17" x14ac:dyDescent="0.2">
      <c r="A165" s="7" t="s">
        <v>79</v>
      </c>
    </row>
    <row r="166" spans="1:17" x14ac:dyDescent="0.2">
      <c r="A166" s="4" t="s">
        <v>113</v>
      </c>
      <c r="B166" s="19">
        <f t="array" ref="B166">_xll.GetPrice("FP-LBR-0058","Actual","Low",_SPECIFICvarPubDate)</f>
        <v>1200</v>
      </c>
      <c r="C166" s="19">
        <f t="array" ref="C166">_xll.GetPrice("FP-LBR-0058","Actual","High",_SPECIFICvarPubDate)</f>
        <v>1250</v>
      </c>
      <c r="D166" s="2">
        <f t="array" ref="D166">_xll.GetPrice("FP-LBR-0120","Actual","Low",_SPECIFICvarPubDate)</f>
        <v>509</v>
      </c>
      <c r="E166" s="2">
        <f t="array" ref="E166">_xll.GetPrice("FP-LBR-0120","Actual","High",_SPECIFICvarPubDate)</f>
        <v>530</v>
      </c>
    </row>
  </sheetData>
  <phoneticPr fontId="9" type="noConversion"/>
  <printOptions headings="1" gridLines="1" gridLinesSet="0"/>
  <pageMargins left="0.5" right="0.5" top="0.5" bottom="0.5" header="0.5" footer="0.5"/>
  <pageSetup scale="22"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7BFD7DDE2EAE49AAC78A68AB7AA4C6" ma:contentTypeVersion="18" ma:contentTypeDescription="Create a new document." ma:contentTypeScope="" ma:versionID="f204cc806845aa2af1fdfa580804559a">
  <xsd:schema xmlns:xsd="http://www.w3.org/2001/XMLSchema" xmlns:xs="http://www.w3.org/2001/XMLSchema" xmlns:p="http://schemas.microsoft.com/office/2006/metadata/properties" xmlns:ns2="37a4200c-0ed5-4d27-bdfb-343e8c4f4810" xmlns:ns3="de5281ab-0e43-4ae6-a18f-9b82c26df0e2" targetNamespace="http://schemas.microsoft.com/office/2006/metadata/properties" ma:root="true" ma:fieldsID="613ec300197912e5dd627532e1197081" ns2:_="" ns3:_="">
    <xsd:import namespace="37a4200c-0ed5-4d27-bdfb-343e8c4f4810"/>
    <xsd:import namespace="de5281ab-0e43-4ae6-a18f-9b82c26df0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4200c-0ed5-4d27-bdfb-343e8c4f4810"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281ab-0e43-4ae6-a18f-9b82c26df0e2"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EB000-A85F-4854-9AFE-FC19FBD34557}">
  <ds:schemaRefs>
    <ds:schemaRef ds:uri="http://schemas.microsoft.com/sharepoint/v3/contenttype/forms"/>
  </ds:schemaRefs>
</ds:datastoreItem>
</file>

<file path=customXml/itemProps2.xml><?xml version="1.0" encoding="utf-8"?>
<ds:datastoreItem xmlns:ds="http://schemas.openxmlformats.org/officeDocument/2006/customXml" ds:itemID="{84FA38F5-D9C3-46CC-81E8-DD252A79C4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5173B97-BD47-4CA2-AB56-77C9F3C93E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618</vt:i4>
      </vt:variant>
    </vt:vector>
  </HeadingPairs>
  <TitlesOfParts>
    <vt:vector size="620" baseType="lpstr">
      <vt:lpstr>International-Latest prices</vt:lpstr>
      <vt:lpstr>International-Specific date</vt:lpstr>
      <vt:lpstr>'International-Latest prices'!__Rpt</vt:lpstr>
      <vt:lpstr>__Rpt</vt:lpstr>
      <vt:lpstr>'International-Latest prices'!_LATESTvarPubDate</vt:lpstr>
      <vt:lpstr>'International-Latest prices'!_prtRpt</vt:lpstr>
      <vt:lpstr>_prtRpt</vt:lpstr>
      <vt:lpstr>_SPECIFICvarPubDate</vt:lpstr>
      <vt:lpstr>'International-Latest prices'!EAAC</vt:lpstr>
      <vt:lpstr>'International-Specific date'!EAAC</vt:lpstr>
      <vt:lpstr>'International-Latest prices'!EAAE</vt:lpstr>
      <vt:lpstr>'International-Specific date'!EAAE</vt:lpstr>
      <vt:lpstr>'International-Latest prices'!EAAH</vt:lpstr>
      <vt:lpstr>'International-Specific date'!EAAH</vt:lpstr>
      <vt:lpstr>'International-Latest prices'!EAAJ</vt:lpstr>
      <vt:lpstr>'International-Specific date'!EAAJ</vt:lpstr>
      <vt:lpstr>'International-Latest prices'!EAAL</vt:lpstr>
      <vt:lpstr>'International-Specific date'!EAAL</vt:lpstr>
      <vt:lpstr>'International-Latest prices'!EAAM</vt:lpstr>
      <vt:lpstr>'International-Specific date'!EAAM</vt:lpstr>
      <vt:lpstr>'International-Latest prices'!EAAO</vt:lpstr>
      <vt:lpstr>'International-Specific date'!EAAO</vt:lpstr>
      <vt:lpstr>'International-Latest prices'!EAAP</vt:lpstr>
      <vt:lpstr>'International-Specific date'!EAAP</vt:lpstr>
      <vt:lpstr>'International-Latest prices'!EABC</vt:lpstr>
      <vt:lpstr>'International-Specific date'!EABC</vt:lpstr>
      <vt:lpstr>'International-Latest prices'!EABG</vt:lpstr>
      <vt:lpstr>'International-Specific date'!EABG</vt:lpstr>
      <vt:lpstr>'International-Latest prices'!EABI</vt:lpstr>
      <vt:lpstr>'International-Specific date'!EABI</vt:lpstr>
      <vt:lpstr>'International-Latest prices'!EABJ</vt:lpstr>
      <vt:lpstr>'International-Specific date'!EABJ</vt:lpstr>
      <vt:lpstr>'International-Latest prices'!EABK</vt:lpstr>
      <vt:lpstr>'International-Specific date'!EABK</vt:lpstr>
      <vt:lpstr>'International-Latest prices'!EABL</vt:lpstr>
      <vt:lpstr>'International-Specific date'!EABL</vt:lpstr>
      <vt:lpstr>'International-Latest prices'!EABM</vt:lpstr>
      <vt:lpstr>'International-Specific date'!EABM</vt:lpstr>
      <vt:lpstr>'International-Latest prices'!EABN</vt:lpstr>
      <vt:lpstr>'International-Specific date'!EABN</vt:lpstr>
      <vt:lpstr>'International-Latest prices'!EABO</vt:lpstr>
      <vt:lpstr>'International-Specific date'!EABO</vt:lpstr>
      <vt:lpstr>'International-Latest prices'!EABP</vt:lpstr>
      <vt:lpstr>'International-Specific date'!EABP</vt:lpstr>
      <vt:lpstr>'International-Latest prices'!EABR</vt:lpstr>
      <vt:lpstr>'International-Specific date'!EABR</vt:lpstr>
      <vt:lpstr>'International-Latest prices'!EABS</vt:lpstr>
      <vt:lpstr>'International-Specific date'!EABS</vt:lpstr>
      <vt:lpstr>'International-Latest prices'!EABT</vt:lpstr>
      <vt:lpstr>'International-Specific date'!EABT</vt:lpstr>
      <vt:lpstr>'International-Latest prices'!EABU</vt:lpstr>
      <vt:lpstr>'International-Specific date'!EABU</vt:lpstr>
      <vt:lpstr>'International-Latest prices'!EABV</vt:lpstr>
      <vt:lpstr>'International-Specific date'!EABV</vt:lpstr>
      <vt:lpstr>'International-Latest prices'!EABX</vt:lpstr>
      <vt:lpstr>'International-Specific date'!EABX</vt:lpstr>
      <vt:lpstr>'International-Latest prices'!EABY</vt:lpstr>
      <vt:lpstr>'International-Specific date'!EABY</vt:lpstr>
      <vt:lpstr>'International-Latest prices'!EABZ</vt:lpstr>
      <vt:lpstr>'International-Specific date'!EABZ</vt:lpstr>
      <vt:lpstr>'International-Latest prices'!EACA</vt:lpstr>
      <vt:lpstr>'International-Specific date'!EACA</vt:lpstr>
      <vt:lpstr>'International-Latest prices'!EACB</vt:lpstr>
      <vt:lpstr>'International-Specific date'!EACB</vt:lpstr>
      <vt:lpstr>'International-Latest prices'!EACC</vt:lpstr>
      <vt:lpstr>'International-Specific date'!EACC</vt:lpstr>
      <vt:lpstr>'International-Latest prices'!EACD</vt:lpstr>
      <vt:lpstr>'International-Specific date'!EACD</vt:lpstr>
      <vt:lpstr>'International-Latest prices'!EACE</vt:lpstr>
      <vt:lpstr>'International-Specific date'!EACE</vt:lpstr>
      <vt:lpstr>'International-Latest prices'!EACF</vt:lpstr>
      <vt:lpstr>'International-Specific date'!EACF</vt:lpstr>
      <vt:lpstr>'International-Latest prices'!EACG</vt:lpstr>
      <vt:lpstr>'International-Specific date'!EACG</vt:lpstr>
      <vt:lpstr>'International-Latest prices'!EACH</vt:lpstr>
      <vt:lpstr>'International-Specific date'!EACH</vt:lpstr>
      <vt:lpstr>'International-Latest prices'!EACI</vt:lpstr>
      <vt:lpstr>'International-Specific date'!EACI</vt:lpstr>
      <vt:lpstr>'International-Latest prices'!EACJ</vt:lpstr>
      <vt:lpstr>'International-Specific date'!EACJ</vt:lpstr>
      <vt:lpstr>'International-Latest prices'!EACK</vt:lpstr>
      <vt:lpstr>'International-Specific date'!EACK</vt:lpstr>
      <vt:lpstr>'International-Latest prices'!EACL</vt:lpstr>
      <vt:lpstr>'International-Specific date'!EACL</vt:lpstr>
      <vt:lpstr>'International-Latest prices'!EACM</vt:lpstr>
      <vt:lpstr>'International-Specific date'!EACM</vt:lpstr>
      <vt:lpstr>'International-Latest prices'!EACN</vt:lpstr>
      <vt:lpstr>'International-Specific date'!EACN</vt:lpstr>
      <vt:lpstr>'International-Latest prices'!EACO</vt:lpstr>
      <vt:lpstr>'International-Specific date'!EACO</vt:lpstr>
      <vt:lpstr>'International-Latest prices'!EACP</vt:lpstr>
      <vt:lpstr>'International-Specific date'!EACP</vt:lpstr>
      <vt:lpstr>'International-Latest prices'!EACQ</vt:lpstr>
      <vt:lpstr>'International-Specific date'!EACQ</vt:lpstr>
      <vt:lpstr>'International-Latest prices'!EACR</vt:lpstr>
      <vt:lpstr>'International-Specific date'!EACR</vt:lpstr>
      <vt:lpstr>'International-Latest prices'!EACS</vt:lpstr>
      <vt:lpstr>'International-Specific date'!EACS</vt:lpstr>
      <vt:lpstr>'International-Latest prices'!EACT</vt:lpstr>
      <vt:lpstr>'International-Specific date'!EACT</vt:lpstr>
      <vt:lpstr>'International-Latest prices'!EACU</vt:lpstr>
      <vt:lpstr>'International-Specific date'!EACU</vt:lpstr>
      <vt:lpstr>'International-Latest prices'!EACV</vt:lpstr>
      <vt:lpstr>'International-Specific date'!EACV</vt:lpstr>
      <vt:lpstr>'International-Latest prices'!EACW</vt:lpstr>
      <vt:lpstr>'International-Specific date'!EACW</vt:lpstr>
      <vt:lpstr>'International-Latest prices'!EACX</vt:lpstr>
      <vt:lpstr>'International-Specific date'!EACX</vt:lpstr>
      <vt:lpstr>'International-Latest prices'!EACY</vt:lpstr>
      <vt:lpstr>'International-Specific date'!EACY</vt:lpstr>
      <vt:lpstr>'International-Latest prices'!EADH</vt:lpstr>
      <vt:lpstr>'International-Specific date'!EADH</vt:lpstr>
      <vt:lpstr>'International-Latest prices'!EADI</vt:lpstr>
      <vt:lpstr>'International-Specific date'!EADI</vt:lpstr>
      <vt:lpstr>'International-Latest prices'!EADJ</vt:lpstr>
      <vt:lpstr>'International-Specific date'!EADJ</vt:lpstr>
      <vt:lpstr>'International-Latest prices'!EADK</vt:lpstr>
      <vt:lpstr>'International-Specific date'!EADK</vt:lpstr>
      <vt:lpstr>'International-Latest prices'!EADL</vt:lpstr>
      <vt:lpstr>'International-Specific date'!EADL</vt:lpstr>
      <vt:lpstr>'International-Latest prices'!EADM</vt:lpstr>
      <vt:lpstr>'International-Specific date'!EADM</vt:lpstr>
      <vt:lpstr>'International-Latest prices'!EAEP</vt:lpstr>
      <vt:lpstr>'International-Specific date'!EAEP</vt:lpstr>
      <vt:lpstr>'International-Latest prices'!EAEQ</vt:lpstr>
      <vt:lpstr>'International-Specific date'!EAEQ</vt:lpstr>
      <vt:lpstr>'International-Latest prices'!EAER</vt:lpstr>
      <vt:lpstr>'International-Specific date'!EAER</vt:lpstr>
      <vt:lpstr>'International-Latest prices'!EAES</vt:lpstr>
      <vt:lpstr>'International-Specific date'!EAES</vt:lpstr>
      <vt:lpstr>'International-Latest prices'!EAET</vt:lpstr>
      <vt:lpstr>'International-Specific date'!EAET</vt:lpstr>
      <vt:lpstr>'International-Latest prices'!EAEU</vt:lpstr>
      <vt:lpstr>'International-Specific date'!EAEU</vt:lpstr>
      <vt:lpstr>'International-Latest prices'!EAEZ</vt:lpstr>
      <vt:lpstr>'International-Specific date'!EAEZ</vt:lpstr>
      <vt:lpstr>'International-Latest prices'!EAFA</vt:lpstr>
      <vt:lpstr>'International-Specific date'!EAFA</vt:lpstr>
      <vt:lpstr>'International-Latest prices'!EAFB</vt:lpstr>
      <vt:lpstr>'International-Specific date'!EAFB</vt:lpstr>
      <vt:lpstr>'International-Latest prices'!EAFG</vt:lpstr>
      <vt:lpstr>'International-Specific date'!EAFG</vt:lpstr>
      <vt:lpstr>'International-Latest prices'!EAFH</vt:lpstr>
      <vt:lpstr>'International-Specific date'!EAFH</vt:lpstr>
      <vt:lpstr>'International-Latest prices'!EAFI</vt:lpstr>
      <vt:lpstr>'International-Specific date'!EAFI</vt:lpstr>
      <vt:lpstr>'International-Latest prices'!EAFJ</vt:lpstr>
      <vt:lpstr>'International-Specific date'!EAFJ</vt:lpstr>
      <vt:lpstr>'International-Latest prices'!EAFK</vt:lpstr>
      <vt:lpstr>'International-Specific date'!EAFK</vt:lpstr>
      <vt:lpstr>'International-Latest prices'!EAFM</vt:lpstr>
      <vt:lpstr>'International-Specific date'!EAFM</vt:lpstr>
      <vt:lpstr>'International-Latest prices'!EAFN</vt:lpstr>
      <vt:lpstr>'International-Specific date'!EAFN</vt:lpstr>
      <vt:lpstr>'International-Latest prices'!EAFO</vt:lpstr>
      <vt:lpstr>'International-Specific date'!EAFO</vt:lpstr>
      <vt:lpstr>'International-Latest prices'!EAFQ</vt:lpstr>
      <vt:lpstr>'International-Specific date'!EAFQ</vt:lpstr>
      <vt:lpstr>'International-Latest prices'!EAFT</vt:lpstr>
      <vt:lpstr>'International-Specific date'!EAFT</vt:lpstr>
      <vt:lpstr>'International-Latest prices'!EAFU</vt:lpstr>
      <vt:lpstr>'International-Specific date'!EAFU</vt:lpstr>
      <vt:lpstr>'International-Latest prices'!EAFV</vt:lpstr>
      <vt:lpstr>'International-Specific date'!EAFV</vt:lpstr>
      <vt:lpstr>'International-Latest prices'!EAFY</vt:lpstr>
      <vt:lpstr>'International-Specific date'!EAFY</vt:lpstr>
      <vt:lpstr>'International-Latest prices'!EAFZ</vt:lpstr>
      <vt:lpstr>'International-Specific date'!EAFZ</vt:lpstr>
      <vt:lpstr>'International-Latest prices'!EAGA</vt:lpstr>
      <vt:lpstr>'International-Specific date'!EAGA</vt:lpstr>
      <vt:lpstr>'International-Latest prices'!EAGF</vt:lpstr>
      <vt:lpstr>'International-Specific date'!EAGF</vt:lpstr>
      <vt:lpstr>'International-Latest prices'!EAGG</vt:lpstr>
      <vt:lpstr>'International-Specific date'!EAGG</vt:lpstr>
      <vt:lpstr>'International-Latest prices'!EAGN</vt:lpstr>
      <vt:lpstr>'International-Specific date'!EAGN</vt:lpstr>
      <vt:lpstr>'International-Latest prices'!EAGO</vt:lpstr>
      <vt:lpstr>'International-Specific date'!EAGO</vt:lpstr>
      <vt:lpstr>'International-Latest prices'!EAGP</vt:lpstr>
      <vt:lpstr>'International-Specific date'!EAGP</vt:lpstr>
      <vt:lpstr>'International-Latest prices'!EAGQ</vt:lpstr>
      <vt:lpstr>'International-Specific date'!EAGQ</vt:lpstr>
      <vt:lpstr>'International-Latest prices'!EAGR</vt:lpstr>
      <vt:lpstr>'International-Specific date'!EAGR</vt:lpstr>
      <vt:lpstr>'International-Latest prices'!EAGS</vt:lpstr>
      <vt:lpstr>'International-Specific date'!EAGS</vt:lpstr>
      <vt:lpstr>'International-Latest prices'!EAGT</vt:lpstr>
      <vt:lpstr>'International-Specific date'!EAGT</vt:lpstr>
      <vt:lpstr>'International-Latest prices'!EAGU</vt:lpstr>
      <vt:lpstr>'International-Specific date'!EAGU</vt:lpstr>
      <vt:lpstr>'International-Latest prices'!EAGX</vt:lpstr>
      <vt:lpstr>'International-Specific date'!EAGX</vt:lpstr>
      <vt:lpstr>'International-Latest prices'!EAGY</vt:lpstr>
      <vt:lpstr>'International-Specific date'!EAGY</vt:lpstr>
      <vt:lpstr>'International-Latest prices'!EAGZ</vt:lpstr>
      <vt:lpstr>'International-Specific date'!EAGZ</vt:lpstr>
      <vt:lpstr>'International-Latest prices'!EAHA</vt:lpstr>
      <vt:lpstr>'International-Specific date'!EAHA</vt:lpstr>
      <vt:lpstr>'International-Latest prices'!EAHF</vt:lpstr>
      <vt:lpstr>'International-Specific date'!EAHF</vt:lpstr>
      <vt:lpstr>'International-Latest prices'!EAHG</vt:lpstr>
      <vt:lpstr>'International-Specific date'!EAHG</vt:lpstr>
      <vt:lpstr>'International-Latest prices'!EAHH</vt:lpstr>
      <vt:lpstr>'International-Specific date'!EAHH</vt:lpstr>
      <vt:lpstr>'International-Latest prices'!EAHI</vt:lpstr>
      <vt:lpstr>'International-Specific date'!EAHI</vt:lpstr>
      <vt:lpstr>'International-Latest prices'!EAHJ</vt:lpstr>
      <vt:lpstr>'International-Specific date'!EAHJ</vt:lpstr>
      <vt:lpstr>'International-Latest prices'!EAHK</vt:lpstr>
      <vt:lpstr>'International-Specific date'!EAHK</vt:lpstr>
      <vt:lpstr>'International-Latest prices'!EAHL</vt:lpstr>
      <vt:lpstr>'International-Specific date'!EAHL</vt:lpstr>
      <vt:lpstr>'International-Latest prices'!EAHM</vt:lpstr>
      <vt:lpstr>'International-Specific date'!EAHM</vt:lpstr>
      <vt:lpstr>'International-Latest prices'!EAHN</vt:lpstr>
      <vt:lpstr>'International-Specific date'!EAHN</vt:lpstr>
      <vt:lpstr>'International-Latest prices'!EAHO</vt:lpstr>
      <vt:lpstr>'International-Specific date'!EAHO</vt:lpstr>
      <vt:lpstr>'International-Latest prices'!EAHW</vt:lpstr>
      <vt:lpstr>'International-Specific date'!EAHW</vt:lpstr>
      <vt:lpstr>'International-Latest prices'!EAHX</vt:lpstr>
      <vt:lpstr>'International-Specific date'!EAHX</vt:lpstr>
      <vt:lpstr>'International-Latest prices'!EAHY</vt:lpstr>
      <vt:lpstr>'International-Specific date'!EAHY</vt:lpstr>
      <vt:lpstr>'International-Latest prices'!EAHZ</vt:lpstr>
      <vt:lpstr>'International-Specific date'!EAHZ</vt:lpstr>
      <vt:lpstr>'International-Latest prices'!EAIA</vt:lpstr>
      <vt:lpstr>'International-Specific date'!EAIA</vt:lpstr>
      <vt:lpstr>'International-Latest prices'!EAIB</vt:lpstr>
      <vt:lpstr>'International-Specific date'!EAIB</vt:lpstr>
      <vt:lpstr>'International-Latest prices'!EAIC</vt:lpstr>
      <vt:lpstr>'International-Specific date'!EAIC</vt:lpstr>
      <vt:lpstr>'International-Latest prices'!EAID</vt:lpstr>
      <vt:lpstr>'International-Specific date'!EAID</vt:lpstr>
      <vt:lpstr>'International-Latest prices'!EAIE</vt:lpstr>
      <vt:lpstr>'International-Specific date'!EAIE</vt:lpstr>
      <vt:lpstr>'International-Latest prices'!EAIF</vt:lpstr>
      <vt:lpstr>'International-Specific date'!EAIF</vt:lpstr>
      <vt:lpstr>'International-Latest prices'!EAIG</vt:lpstr>
      <vt:lpstr>'International-Specific date'!EAIG</vt:lpstr>
      <vt:lpstr>'International-Latest prices'!EAIH</vt:lpstr>
      <vt:lpstr>'International-Specific date'!EAIH</vt:lpstr>
      <vt:lpstr>'International-Latest prices'!EAII</vt:lpstr>
      <vt:lpstr>'International-Specific date'!EAII</vt:lpstr>
      <vt:lpstr>'International-Latest prices'!EAIJ</vt:lpstr>
      <vt:lpstr>'International-Specific date'!EAIJ</vt:lpstr>
      <vt:lpstr>'International-Latest prices'!EAIK</vt:lpstr>
      <vt:lpstr>'International-Specific date'!EAIK</vt:lpstr>
      <vt:lpstr>'International-Latest prices'!EAIL</vt:lpstr>
      <vt:lpstr>'International-Specific date'!EAIL</vt:lpstr>
      <vt:lpstr>'International-Latest prices'!EAIM</vt:lpstr>
      <vt:lpstr>'International-Specific date'!EAIM</vt:lpstr>
      <vt:lpstr>'International-Latest prices'!EAIN</vt:lpstr>
      <vt:lpstr>'International-Specific date'!EAIN</vt:lpstr>
      <vt:lpstr>'International-Latest prices'!EAIO</vt:lpstr>
      <vt:lpstr>'International-Specific date'!EAIO</vt:lpstr>
      <vt:lpstr>'International-Latest prices'!EAIP</vt:lpstr>
      <vt:lpstr>'International-Specific date'!EAIP</vt:lpstr>
      <vt:lpstr>'International-Latest prices'!EAIQ</vt:lpstr>
      <vt:lpstr>'International-Specific date'!EAIQ</vt:lpstr>
      <vt:lpstr>'International-Latest prices'!EAIR</vt:lpstr>
      <vt:lpstr>'International-Specific date'!EAIR</vt:lpstr>
      <vt:lpstr>'International-Latest prices'!EAIS</vt:lpstr>
      <vt:lpstr>'International-Specific date'!EAIS</vt:lpstr>
      <vt:lpstr>'International-Latest prices'!EAIT</vt:lpstr>
      <vt:lpstr>'International-Specific date'!EAIT</vt:lpstr>
      <vt:lpstr>'International-Latest prices'!EAIU</vt:lpstr>
      <vt:lpstr>'International-Specific date'!EAIU</vt:lpstr>
      <vt:lpstr>'International-Latest prices'!EAIV</vt:lpstr>
      <vt:lpstr>'International-Specific date'!EAIV</vt:lpstr>
      <vt:lpstr>'International-Latest prices'!EAIW</vt:lpstr>
      <vt:lpstr>'International-Specific date'!EAIW</vt:lpstr>
      <vt:lpstr>'International-Latest prices'!EAIY</vt:lpstr>
      <vt:lpstr>'International-Specific date'!EAIY</vt:lpstr>
      <vt:lpstr>'International-Latest prices'!EAJA</vt:lpstr>
      <vt:lpstr>'International-Specific date'!EAJA</vt:lpstr>
      <vt:lpstr>'International-Latest prices'!EAJC</vt:lpstr>
      <vt:lpstr>'International-Specific date'!EAJC</vt:lpstr>
      <vt:lpstr>'International-Latest prices'!EAJE</vt:lpstr>
      <vt:lpstr>'International-Specific date'!EAJE</vt:lpstr>
      <vt:lpstr>'International-Latest prices'!EAJF</vt:lpstr>
      <vt:lpstr>'International-Specific date'!EAJF</vt:lpstr>
      <vt:lpstr>'International-Latest prices'!EAJG</vt:lpstr>
      <vt:lpstr>'International-Specific date'!EAJG</vt:lpstr>
      <vt:lpstr>'International-Latest prices'!EAJH</vt:lpstr>
      <vt:lpstr>'International-Specific date'!EAJH</vt:lpstr>
      <vt:lpstr>'International-Latest prices'!EAJI</vt:lpstr>
      <vt:lpstr>'International-Specific date'!EAJI</vt:lpstr>
      <vt:lpstr>'International-Latest prices'!EAJL</vt:lpstr>
      <vt:lpstr>'International-Specific date'!EAJL</vt:lpstr>
      <vt:lpstr>'International-Latest prices'!EAJP</vt:lpstr>
      <vt:lpstr>'International-Specific date'!EAJP</vt:lpstr>
      <vt:lpstr>'International-Latest prices'!EAJR</vt:lpstr>
      <vt:lpstr>'International-Specific date'!EAJR</vt:lpstr>
      <vt:lpstr>'International-Latest prices'!EAJS</vt:lpstr>
      <vt:lpstr>'International-Specific date'!EAJS</vt:lpstr>
      <vt:lpstr>'International-Latest prices'!EAJT</vt:lpstr>
      <vt:lpstr>'International-Specific date'!EAJT</vt:lpstr>
      <vt:lpstr>'International-Latest prices'!EAJW</vt:lpstr>
      <vt:lpstr>'International-Specific date'!EAJW</vt:lpstr>
      <vt:lpstr>'International-Latest prices'!EAJX</vt:lpstr>
      <vt:lpstr>'International-Specific date'!EAJX</vt:lpstr>
      <vt:lpstr>'International-Latest prices'!EAJY</vt:lpstr>
      <vt:lpstr>'International-Specific date'!EAJY</vt:lpstr>
      <vt:lpstr>'International-Latest prices'!EAKA</vt:lpstr>
      <vt:lpstr>'International-Specific date'!EAKA</vt:lpstr>
      <vt:lpstr>'International-Latest prices'!EAKB</vt:lpstr>
      <vt:lpstr>'International-Specific date'!EAKB</vt:lpstr>
      <vt:lpstr>'International-Latest prices'!EAKC</vt:lpstr>
      <vt:lpstr>'International-Specific date'!EAKC</vt:lpstr>
      <vt:lpstr>'International-Latest prices'!EAKD</vt:lpstr>
      <vt:lpstr>'International-Specific date'!EAKD</vt:lpstr>
      <vt:lpstr>'International-Latest prices'!EAKE</vt:lpstr>
      <vt:lpstr>'International-Specific date'!EAKE</vt:lpstr>
      <vt:lpstr>'International-Latest prices'!EAKF</vt:lpstr>
      <vt:lpstr>'International-Specific date'!EAKF</vt:lpstr>
      <vt:lpstr>'International-Latest prices'!EAKG</vt:lpstr>
      <vt:lpstr>'International-Specific date'!EAKG</vt:lpstr>
      <vt:lpstr>'International-Latest prices'!EAKH</vt:lpstr>
      <vt:lpstr>'International-Specific date'!EAKH</vt:lpstr>
      <vt:lpstr>'International-Latest prices'!EAKI</vt:lpstr>
      <vt:lpstr>'International-Specific date'!EAKI</vt:lpstr>
      <vt:lpstr>'International-Latest prices'!EAKJ</vt:lpstr>
      <vt:lpstr>'International-Specific date'!EAKJ</vt:lpstr>
      <vt:lpstr>'International-Latest prices'!EAKK</vt:lpstr>
      <vt:lpstr>'International-Specific date'!EAKK</vt:lpstr>
      <vt:lpstr>'International-Latest prices'!EAKL</vt:lpstr>
      <vt:lpstr>'International-Specific date'!EAKL</vt:lpstr>
      <vt:lpstr>'International-Latest prices'!EAKM</vt:lpstr>
      <vt:lpstr>'International-Specific date'!EAKM</vt:lpstr>
      <vt:lpstr>'International-Latest prices'!EAKN</vt:lpstr>
      <vt:lpstr>'International-Specific date'!EAKN</vt:lpstr>
      <vt:lpstr>'International-Latest prices'!EAKO</vt:lpstr>
      <vt:lpstr>'International-Specific date'!EAKO</vt:lpstr>
      <vt:lpstr>'International-Latest prices'!EAKP</vt:lpstr>
      <vt:lpstr>'International-Specific date'!EAKP</vt:lpstr>
      <vt:lpstr>'International-Latest prices'!EAKQ</vt:lpstr>
      <vt:lpstr>'International-Specific date'!EAKQ</vt:lpstr>
      <vt:lpstr>'International-Latest prices'!EAKR</vt:lpstr>
      <vt:lpstr>'International-Specific date'!EAKR</vt:lpstr>
      <vt:lpstr>'International-Latest prices'!EAKS</vt:lpstr>
      <vt:lpstr>'International-Specific date'!EAKS</vt:lpstr>
      <vt:lpstr>'International-Latest prices'!EAKT</vt:lpstr>
      <vt:lpstr>'International-Specific date'!EAKT</vt:lpstr>
      <vt:lpstr>'International-Latest prices'!EAKU</vt:lpstr>
      <vt:lpstr>'International-Specific date'!EAKU</vt:lpstr>
      <vt:lpstr>'International-Latest prices'!EAKV</vt:lpstr>
      <vt:lpstr>'International-Specific date'!EAKV</vt:lpstr>
      <vt:lpstr>'International-Latest prices'!EAKW</vt:lpstr>
      <vt:lpstr>'International-Specific date'!EAKW</vt:lpstr>
      <vt:lpstr>'International-Latest prices'!EAKX</vt:lpstr>
      <vt:lpstr>'International-Specific date'!EAKX</vt:lpstr>
      <vt:lpstr>'International-Latest prices'!EAKY</vt:lpstr>
      <vt:lpstr>'International-Specific date'!EAKY</vt:lpstr>
      <vt:lpstr>'International-Latest prices'!EAKZ</vt:lpstr>
      <vt:lpstr>'International-Specific date'!EAKZ</vt:lpstr>
      <vt:lpstr>'International-Latest prices'!EALA</vt:lpstr>
      <vt:lpstr>'International-Specific date'!EALA</vt:lpstr>
      <vt:lpstr>'International-Latest prices'!EALB</vt:lpstr>
      <vt:lpstr>'International-Specific date'!EALB</vt:lpstr>
      <vt:lpstr>'International-Latest prices'!EALC</vt:lpstr>
      <vt:lpstr>'International-Specific date'!EALC</vt:lpstr>
      <vt:lpstr>'International-Latest prices'!EALD</vt:lpstr>
      <vt:lpstr>'International-Specific date'!EALD</vt:lpstr>
      <vt:lpstr>'International-Latest prices'!EALE</vt:lpstr>
      <vt:lpstr>'International-Specific date'!EALE</vt:lpstr>
      <vt:lpstr>'International-Latest prices'!EALF</vt:lpstr>
      <vt:lpstr>'International-Specific date'!EALF</vt:lpstr>
      <vt:lpstr>'International-Latest prices'!EALG</vt:lpstr>
      <vt:lpstr>'International-Specific date'!EALG</vt:lpstr>
      <vt:lpstr>'International-Latest prices'!EALH</vt:lpstr>
      <vt:lpstr>'International-Specific date'!EALH</vt:lpstr>
      <vt:lpstr>'International-Latest prices'!EALI</vt:lpstr>
      <vt:lpstr>'International-Specific date'!EALI</vt:lpstr>
      <vt:lpstr>'International-Latest prices'!EALJ</vt:lpstr>
      <vt:lpstr>'International-Specific date'!EALJ</vt:lpstr>
      <vt:lpstr>'International-Latest prices'!EALK</vt:lpstr>
      <vt:lpstr>'International-Specific date'!EALK</vt:lpstr>
      <vt:lpstr>'International-Latest prices'!EALL</vt:lpstr>
      <vt:lpstr>'International-Specific date'!EALL</vt:lpstr>
      <vt:lpstr>'International-Latest prices'!EALM</vt:lpstr>
      <vt:lpstr>'International-Specific date'!EALM</vt:lpstr>
      <vt:lpstr>'International-Latest prices'!EALT</vt:lpstr>
      <vt:lpstr>'International-Specific date'!EALT</vt:lpstr>
      <vt:lpstr>'International-Latest prices'!EALU</vt:lpstr>
      <vt:lpstr>'International-Specific date'!EALU</vt:lpstr>
      <vt:lpstr>'International-Latest prices'!EALV</vt:lpstr>
      <vt:lpstr>'International-Specific date'!EALV</vt:lpstr>
      <vt:lpstr>'International-Latest prices'!EALW</vt:lpstr>
      <vt:lpstr>'International-Specific date'!EALW</vt:lpstr>
      <vt:lpstr>'International-Latest prices'!EALX</vt:lpstr>
      <vt:lpstr>'International-Specific date'!EALX</vt:lpstr>
      <vt:lpstr>'International-Latest prices'!EALY</vt:lpstr>
      <vt:lpstr>'International-Specific date'!EALY</vt:lpstr>
      <vt:lpstr>'International-Latest prices'!EALZ</vt:lpstr>
      <vt:lpstr>'International-Specific date'!EALZ</vt:lpstr>
      <vt:lpstr>'International-Latest prices'!EAMA</vt:lpstr>
      <vt:lpstr>'International-Specific date'!EAMA</vt:lpstr>
      <vt:lpstr>'International-Latest prices'!EAMB</vt:lpstr>
      <vt:lpstr>'International-Specific date'!EAMB</vt:lpstr>
      <vt:lpstr>'International-Latest prices'!EAMC</vt:lpstr>
      <vt:lpstr>'International-Specific date'!EAMC</vt:lpstr>
      <vt:lpstr>'International-Latest prices'!EAMD</vt:lpstr>
      <vt:lpstr>'International-Specific date'!EAMD</vt:lpstr>
      <vt:lpstr>'International-Latest prices'!EAME</vt:lpstr>
      <vt:lpstr>'International-Specific date'!EAME</vt:lpstr>
      <vt:lpstr>'International-Latest prices'!EAMF</vt:lpstr>
      <vt:lpstr>'International-Specific date'!EAMF</vt:lpstr>
      <vt:lpstr>'International-Latest prices'!EAMG</vt:lpstr>
      <vt:lpstr>'International-Specific date'!EAMG</vt:lpstr>
      <vt:lpstr>'International-Latest prices'!EAMI</vt:lpstr>
      <vt:lpstr>'International-Specific date'!EAMI</vt:lpstr>
      <vt:lpstr>'International-Latest prices'!EAMJ</vt:lpstr>
      <vt:lpstr>'International-Specific date'!EAMJ</vt:lpstr>
      <vt:lpstr>'International-Latest prices'!EAMK</vt:lpstr>
      <vt:lpstr>'International-Specific date'!EAMK</vt:lpstr>
      <vt:lpstr>'International-Latest prices'!EAMM</vt:lpstr>
      <vt:lpstr>'International-Specific date'!EAMM</vt:lpstr>
      <vt:lpstr>'International-Latest prices'!EAMN</vt:lpstr>
      <vt:lpstr>'International-Specific date'!EAMN</vt:lpstr>
      <vt:lpstr>'International-Latest prices'!EAMO</vt:lpstr>
      <vt:lpstr>'International-Specific date'!EAMO</vt:lpstr>
      <vt:lpstr>'International-Latest prices'!EAMP</vt:lpstr>
      <vt:lpstr>'International-Specific date'!EAMP</vt:lpstr>
      <vt:lpstr>'International-Latest prices'!EAMQ</vt:lpstr>
      <vt:lpstr>'International-Specific date'!EAMQ</vt:lpstr>
      <vt:lpstr>'International-Latest prices'!EAMR</vt:lpstr>
      <vt:lpstr>'International-Specific date'!EAMR</vt:lpstr>
      <vt:lpstr>'International-Latest prices'!EAMS</vt:lpstr>
      <vt:lpstr>'International-Specific date'!EAMS</vt:lpstr>
      <vt:lpstr>'International-Latest prices'!EAMT</vt:lpstr>
      <vt:lpstr>'International-Specific date'!EAMT</vt:lpstr>
      <vt:lpstr>'International-Latest prices'!EAMU</vt:lpstr>
      <vt:lpstr>'International-Specific date'!EAMU</vt:lpstr>
      <vt:lpstr>'International-Latest prices'!EAMV</vt:lpstr>
      <vt:lpstr>'International-Specific date'!EAMV</vt:lpstr>
      <vt:lpstr>'International-Latest prices'!EAMW</vt:lpstr>
      <vt:lpstr>'International-Specific date'!EAMW</vt:lpstr>
      <vt:lpstr>'International-Latest prices'!EAMX</vt:lpstr>
      <vt:lpstr>'International-Specific date'!EAMX</vt:lpstr>
      <vt:lpstr>'International-Latest prices'!EAMY</vt:lpstr>
      <vt:lpstr>'International-Specific date'!EAMY</vt:lpstr>
      <vt:lpstr>'International-Latest prices'!EAMZ</vt:lpstr>
      <vt:lpstr>'International-Specific date'!EAMZ</vt:lpstr>
      <vt:lpstr>'International-Latest prices'!EANA</vt:lpstr>
      <vt:lpstr>'International-Specific date'!EANA</vt:lpstr>
      <vt:lpstr>'International-Latest prices'!EANB</vt:lpstr>
      <vt:lpstr>'International-Specific date'!EANB</vt:lpstr>
      <vt:lpstr>'International-Latest prices'!EANC</vt:lpstr>
      <vt:lpstr>'International-Specific date'!EANC</vt:lpstr>
      <vt:lpstr>'International-Latest prices'!EAND</vt:lpstr>
      <vt:lpstr>'International-Specific date'!EAND</vt:lpstr>
      <vt:lpstr>'International-Latest prices'!EANE</vt:lpstr>
      <vt:lpstr>'International-Specific date'!EANE</vt:lpstr>
      <vt:lpstr>'International-Latest prices'!EANF</vt:lpstr>
      <vt:lpstr>'International-Specific date'!EANF</vt:lpstr>
      <vt:lpstr>'International-Latest prices'!EANG</vt:lpstr>
      <vt:lpstr>'International-Specific date'!EANG</vt:lpstr>
      <vt:lpstr>'International-Latest prices'!EANH</vt:lpstr>
      <vt:lpstr>'International-Specific date'!EANH</vt:lpstr>
      <vt:lpstr>'International-Latest prices'!EANI</vt:lpstr>
      <vt:lpstr>'International-Specific date'!EANI</vt:lpstr>
      <vt:lpstr>'International-Latest prices'!EANJ</vt:lpstr>
      <vt:lpstr>'International-Specific date'!EANJ</vt:lpstr>
      <vt:lpstr>'International-Latest prices'!EANK</vt:lpstr>
      <vt:lpstr>'International-Specific date'!EANK</vt:lpstr>
      <vt:lpstr>'International-Latest prices'!EANL</vt:lpstr>
      <vt:lpstr>'International-Specific date'!EANL</vt:lpstr>
      <vt:lpstr>'International-Latest prices'!EANM</vt:lpstr>
      <vt:lpstr>'International-Specific date'!EANM</vt:lpstr>
      <vt:lpstr>'International-Latest prices'!EANN</vt:lpstr>
      <vt:lpstr>'International-Specific date'!EANN</vt:lpstr>
      <vt:lpstr>'International-Latest prices'!EANO</vt:lpstr>
      <vt:lpstr>'International-Specific date'!EANO</vt:lpstr>
      <vt:lpstr>'International-Latest prices'!EANP</vt:lpstr>
      <vt:lpstr>'International-Specific date'!EANP</vt:lpstr>
      <vt:lpstr>'International-Latest prices'!EANQ</vt:lpstr>
      <vt:lpstr>'International-Specific date'!EANQ</vt:lpstr>
      <vt:lpstr>'International-Latest prices'!EANY</vt:lpstr>
      <vt:lpstr>'International-Specific date'!EANY</vt:lpstr>
      <vt:lpstr>'International-Latest prices'!EANZ</vt:lpstr>
      <vt:lpstr>'International-Specific date'!EANZ</vt:lpstr>
      <vt:lpstr>'International-Latest prices'!EAOA</vt:lpstr>
      <vt:lpstr>'International-Specific date'!EAOA</vt:lpstr>
      <vt:lpstr>'International-Latest prices'!EAOB</vt:lpstr>
      <vt:lpstr>'International-Specific date'!EAOB</vt:lpstr>
      <vt:lpstr>'International-Latest prices'!EAOC</vt:lpstr>
      <vt:lpstr>'International-Specific date'!EAOC</vt:lpstr>
      <vt:lpstr>'International-Latest prices'!EAOD</vt:lpstr>
      <vt:lpstr>'International-Specific date'!EAOD</vt:lpstr>
      <vt:lpstr>'International-Latest prices'!EAOE</vt:lpstr>
      <vt:lpstr>'International-Specific date'!EAOE</vt:lpstr>
      <vt:lpstr>'International-Latest prices'!EAOF</vt:lpstr>
      <vt:lpstr>'International-Specific date'!EAOF</vt:lpstr>
      <vt:lpstr>'International-Latest prices'!EAOG</vt:lpstr>
      <vt:lpstr>'International-Specific date'!EAOG</vt:lpstr>
      <vt:lpstr>'International-Latest prices'!EAOH</vt:lpstr>
      <vt:lpstr>'International-Specific date'!EAOH</vt:lpstr>
      <vt:lpstr>'International-Latest prices'!EAOI</vt:lpstr>
      <vt:lpstr>'International-Specific date'!EAOI</vt:lpstr>
      <vt:lpstr>'International-Latest prices'!EAOJ</vt:lpstr>
      <vt:lpstr>'International-Specific date'!EAOJ</vt:lpstr>
      <vt:lpstr>'International-Latest prices'!EAOK</vt:lpstr>
      <vt:lpstr>'International-Specific date'!EAOK</vt:lpstr>
      <vt:lpstr>'International-Latest prices'!EAOL</vt:lpstr>
      <vt:lpstr>'International-Specific date'!EAOL</vt:lpstr>
      <vt:lpstr>'International-Latest prices'!EAOM</vt:lpstr>
      <vt:lpstr>'International-Specific date'!EAOM</vt:lpstr>
      <vt:lpstr>'International-Latest prices'!EAON</vt:lpstr>
      <vt:lpstr>'International-Specific date'!EAON</vt:lpstr>
      <vt:lpstr>'International-Latest prices'!EAOO</vt:lpstr>
      <vt:lpstr>'International-Specific date'!EAOO</vt:lpstr>
      <vt:lpstr>'International-Latest prices'!EAOP</vt:lpstr>
      <vt:lpstr>'International-Specific date'!EAOP</vt:lpstr>
      <vt:lpstr>'International-Latest prices'!EAOQ</vt:lpstr>
      <vt:lpstr>'International-Specific date'!EAOQ</vt:lpstr>
      <vt:lpstr>'International-Latest prices'!EAOR</vt:lpstr>
      <vt:lpstr>'International-Specific date'!EAOR</vt:lpstr>
      <vt:lpstr>'International-Latest prices'!EAOS</vt:lpstr>
      <vt:lpstr>'International-Specific date'!EAOS</vt:lpstr>
      <vt:lpstr>'International-Latest prices'!EAOT</vt:lpstr>
      <vt:lpstr>'International-Specific date'!EAOT</vt:lpstr>
      <vt:lpstr>'International-Latest prices'!EAOU</vt:lpstr>
      <vt:lpstr>'International-Specific date'!EAOU</vt:lpstr>
      <vt:lpstr>'International-Latest prices'!EAOV</vt:lpstr>
      <vt:lpstr>'International-Specific date'!EAOV</vt:lpstr>
      <vt:lpstr>'International-Latest prices'!EAOW</vt:lpstr>
      <vt:lpstr>'International-Specific date'!EAOW</vt:lpstr>
      <vt:lpstr>'International-Latest prices'!EAOX</vt:lpstr>
      <vt:lpstr>'International-Specific date'!EAOX</vt:lpstr>
      <vt:lpstr>'International-Latest prices'!EAOY</vt:lpstr>
      <vt:lpstr>'International-Specific date'!EAOY</vt:lpstr>
      <vt:lpstr>'International-Latest prices'!EAOZ</vt:lpstr>
      <vt:lpstr>'International-Specific date'!EAOZ</vt:lpstr>
      <vt:lpstr>'International-Latest prices'!EAPA</vt:lpstr>
      <vt:lpstr>'International-Specific date'!EAPA</vt:lpstr>
      <vt:lpstr>'International-Latest prices'!EAPB</vt:lpstr>
      <vt:lpstr>'International-Specific date'!EAPB</vt:lpstr>
      <vt:lpstr>'International-Latest prices'!EAPC</vt:lpstr>
      <vt:lpstr>'International-Specific date'!EAPC</vt:lpstr>
      <vt:lpstr>'International-Latest prices'!EAPD</vt:lpstr>
      <vt:lpstr>'International-Specific date'!EAPD</vt:lpstr>
      <vt:lpstr>'International-Latest prices'!EAPE</vt:lpstr>
      <vt:lpstr>'International-Specific date'!EAPE</vt:lpstr>
      <vt:lpstr>'International-Latest prices'!EAPF</vt:lpstr>
      <vt:lpstr>'International-Specific date'!EAPF</vt:lpstr>
      <vt:lpstr>'International-Latest prices'!EAPG</vt:lpstr>
      <vt:lpstr>'International-Specific date'!EAPG</vt:lpstr>
      <vt:lpstr>'International-Latest prices'!EAPH</vt:lpstr>
      <vt:lpstr>'International-Specific date'!EAPH</vt:lpstr>
      <vt:lpstr>'International-Latest prices'!EAPI</vt:lpstr>
      <vt:lpstr>'International-Specific date'!EAPI</vt:lpstr>
      <vt:lpstr>'International-Latest prices'!EAPJ</vt:lpstr>
      <vt:lpstr>'International-Specific date'!EAPJ</vt:lpstr>
      <vt:lpstr>'International-Latest prices'!EAPK</vt:lpstr>
      <vt:lpstr>'International-Specific date'!EAPK</vt:lpstr>
      <vt:lpstr>'International-Latest prices'!EAPL</vt:lpstr>
      <vt:lpstr>'International-Specific date'!EAPL</vt:lpstr>
      <vt:lpstr>'International-Latest prices'!EAPM</vt:lpstr>
      <vt:lpstr>'International-Specific date'!EAPM</vt:lpstr>
      <vt:lpstr>'International-Latest prices'!EAPN</vt:lpstr>
      <vt:lpstr>'International-Specific date'!EAPN</vt:lpstr>
      <vt:lpstr>'International-Latest prices'!EAPO</vt:lpstr>
      <vt:lpstr>'International-Specific date'!EAPO</vt:lpstr>
      <vt:lpstr>'International-Latest prices'!EAPP</vt:lpstr>
      <vt:lpstr>'International-Specific date'!EAPP</vt:lpstr>
      <vt:lpstr>'International-Latest prices'!EAPQ</vt:lpstr>
      <vt:lpstr>'International-Specific date'!EAPQ</vt:lpstr>
      <vt:lpstr>'International-Latest prices'!EAPR</vt:lpstr>
      <vt:lpstr>'International-Specific date'!EAPR</vt:lpstr>
      <vt:lpstr>'International-Latest prices'!EAPS</vt:lpstr>
      <vt:lpstr>'International-Specific date'!EAPS</vt:lpstr>
      <vt:lpstr>'International-Latest prices'!EAPT</vt:lpstr>
      <vt:lpstr>'International-Specific date'!EAPT</vt:lpstr>
      <vt:lpstr>'International-Latest prices'!EAPU</vt:lpstr>
      <vt:lpstr>'International-Specific date'!EAPU</vt:lpstr>
      <vt:lpstr>'International-Latest prices'!EAPV</vt:lpstr>
      <vt:lpstr>'International-Specific date'!EAPV</vt:lpstr>
      <vt:lpstr>'International-Latest prices'!EAPW</vt:lpstr>
      <vt:lpstr>'International-Specific date'!EAPW</vt:lpstr>
      <vt:lpstr>'International-Latest prices'!EAPX</vt:lpstr>
      <vt:lpstr>'International-Specific date'!EAPX</vt:lpstr>
      <vt:lpstr>'International-Latest prices'!EAPY</vt:lpstr>
      <vt:lpstr>'International-Specific date'!EAPY</vt:lpstr>
      <vt:lpstr>'International-Latest prices'!EAPZ</vt:lpstr>
      <vt:lpstr>'International-Specific date'!EAPZ</vt:lpstr>
      <vt:lpstr>'International-Latest prices'!EAQA</vt:lpstr>
      <vt:lpstr>'International-Specific date'!EAQA</vt:lpstr>
      <vt:lpstr>'International-Latest prices'!EAQB</vt:lpstr>
      <vt:lpstr>'International-Specific date'!EAQB</vt:lpstr>
      <vt:lpstr>'International-Latest prices'!EAQC</vt:lpstr>
      <vt:lpstr>'International-Specific date'!EAQC</vt:lpstr>
      <vt:lpstr>'International-Latest prices'!EAQD</vt:lpstr>
      <vt:lpstr>'International-Specific date'!EAQD</vt:lpstr>
      <vt:lpstr>'International-Latest prices'!EAQE</vt:lpstr>
      <vt:lpstr>'International-Specific date'!EAQE</vt:lpstr>
      <vt:lpstr>'International-Latest prices'!EAQF</vt:lpstr>
      <vt:lpstr>'International-Specific date'!EAQF</vt:lpstr>
      <vt:lpstr>'International-Latest prices'!EAQG</vt:lpstr>
      <vt:lpstr>'International-Specific date'!EAQG</vt:lpstr>
      <vt:lpstr>'International-Latest prices'!EAQH</vt:lpstr>
      <vt:lpstr>'International-Specific date'!EAQH</vt:lpstr>
      <vt:lpstr>'International-Latest prices'!EAQI</vt:lpstr>
      <vt:lpstr>'International-Specific date'!EAQI</vt:lpstr>
      <vt:lpstr>'International-Latest prices'!EAQJ</vt:lpstr>
      <vt:lpstr>'International-Specific date'!EAQJ</vt:lpstr>
      <vt:lpstr>'International-Latest prices'!EAQK</vt:lpstr>
      <vt:lpstr>'International-Specific date'!EAQK</vt:lpstr>
      <vt:lpstr>'International-Latest prices'!EAQL</vt:lpstr>
      <vt:lpstr>'International-Specific date'!EAQL</vt:lpstr>
      <vt:lpstr>'International-Latest prices'!EAQM</vt:lpstr>
      <vt:lpstr>'International-Specific date'!EAQM</vt:lpstr>
      <vt:lpstr>'International-Latest prices'!EAQN</vt:lpstr>
      <vt:lpstr>'International-Specific date'!EAQN</vt:lpstr>
      <vt:lpstr>'International-Latest prices'!EAQO</vt:lpstr>
      <vt:lpstr>'International-Specific date'!EAQO</vt:lpstr>
      <vt:lpstr>'International-Latest prices'!EAQP</vt:lpstr>
      <vt:lpstr>'International-Specific date'!EAQP</vt:lpstr>
      <vt:lpstr>'International-Latest prices'!EAQQ</vt:lpstr>
      <vt:lpstr>'International-Specific date'!EAQQ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Numbers Spreadsheet</dc:title>
  <dc:subject/>
  <dc:creator>Debbie Norman</dc:creator>
  <cp:keywords/>
  <dc:description/>
  <cp:lastModifiedBy>Papagalski, Blagovest (BG)</cp:lastModifiedBy>
  <cp:revision/>
  <dcterms:created xsi:type="dcterms:W3CDTF">1999-10-07T23:30:44Z</dcterms:created>
  <dcterms:modified xsi:type="dcterms:W3CDTF">2024-12-11T16:07:45Z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0x0101002E7BFD7DDE2EAE49AAC78A68AB7AA4C6</vt:lpwstr>
  </property>
  <property fmtid="{D5CDD505-2E9C-101B-9397-08002B2CF9AE}" pid="3" name="Order">
    <vt:r8>1500</vt:r8>
  </property>
  <property fmtid="{D5CDD505-2E9C-101B-9397-08002B2CF9AE}" pid="4" name="_ExtendedDescription">
    <vt:lpwstr/>
  </property>
</Properties>
</file>